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RCA-AULAS\AULAS\Saneamento\Esgoto\"/>
    </mc:Choice>
  </mc:AlternateContent>
  <bookViews>
    <workbookView xWindow="0" yWindow="0" windowWidth="20490" windowHeight="6930"/>
  </bookViews>
  <sheets>
    <sheet name="dimensiona rede" sheetId="1" r:id="rId1"/>
    <sheet name="layout" sheetId="3" r:id="rId2"/>
    <sheet name="tabela canais circulares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M39" i="1"/>
  <c r="M38" i="1"/>
  <c r="R34" i="1"/>
  <c r="R25" i="1"/>
  <c r="R26" i="1"/>
  <c r="R35" i="1"/>
  <c r="R30" i="1"/>
  <c r="R29" i="1"/>
  <c r="R23" i="1"/>
  <c r="R18" i="1"/>
  <c r="R15" i="1"/>
  <c r="R13" i="1"/>
  <c r="R12" i="1"/>
  <c r="R11" i="1"/>
  <c r="L38" i="1"/>
  <c r="E31" i="1"/>
  <c r="Q32" i="1"/>
  <c r="Q31" i="1"/>
  <c r="Q28" i="1"/>
  <c r="O31" i="1"/>
  <c r="O27" i="1"/>
  <c r="P27" i="1" s="1"/>
  <c r="Q14" i="1"/>
  <c r="P23" i="1"/>
  <c r="P22" i="1"/>
  <c r="Q27" i="1"/>
  <c r="Q25" i="1"/>
  <c r="Q26" i="1"/>
  <c r="Q29" i="1"/>
  <c r="O29" i="1"/>
  <c r="S26" i="1"/>
  <c r="C37" i="1"/>
  <c r="H17" i="1"/>
  <c r="Z34" i="1"/>
  <c r="Z31" i="1"/>
  <c r="S31" i="1" s="1"/>
  <c r="Z29" i="1"/>
  <c r="S29" i="1" s="1"/>
  <c r="Z30" i="1"/>
  <c r="S30" i="1" s="1"/>
  <c r="Z32" i="1"/>
  <c r="S32" i="1" s="1"/>
  <c r="Z35" i="1"/>
  <c r="S35" i="1" s="1"/>
  <c r="Z27" i="1"/>
  <c r="S27" i="1" s="1"/>
  <c r="Z28" i="1"/>
  <c r="S28" i="1" s="1"/>
  <c r="Z26" i="1"/>
  <c r="Z25" i="1"/>
  <c r="P29" i="1"/>
  <c r="P34" i="1"/>
  <c r="H33" i="1"/>
  <c r="H24" i="1"/>
  <c r="R28" i="1" l="1"/>
  <c r="R27" i="1"/>
  <c r="R32" i="1"/>
  <c r="R31" i="1"/>
  <c r="L40" i="1" s="1"/>
  <c r="S25" i="1"/>
  <c r="S34" i="1"/>
  <c r="Z23" i="1"/>
  <c r="S23" i="1" s="1"/>
  <c r="Z22" i="1"/>
  <c r="S22" i="1" s="1"/>
  <c r="Z21" i="1"/>
  <c r="S21" i="1" s="1"/>
  <c r="Z20" i="1"/>
  <c r="S20" i="1" s="1"/>
  <c r="O20" i="1"/>
  <c r="P20" i="1" s="1"/>
  <c r="Q20" i="1" s="1"/>
  <c r="Z19" i="1"/>
  <c r="S19" i="1" s="1"/>
  <c r="Z18" i="1"/>
  <c r="S18" i="1" s="1"/>
  <c r="Z16" i="1"/>
  <c r="S16" i="1" s="1"/>
  <c r="Z15" i="1"/>
  <c r="S15" i="1" s="1"/>
  <c r="Z14" i="1"/>
  <c r="S14" i="1" s="1"/>
  <c r="Z13" i="1"/>
  <c r="S13" i="1" s="1"/>
  <c r="O13" i="1"/>
  <c r="P13" i="1" s="1"/>
  <c r="Q13" i="1" s="1"/>
  <c r="O11" i="1"/>
  <c r="P11" i="1" s="1"/>
  <c r="Q11" i="1" s="1"/>
  <c r="Z12" i="1"/>
  <c r="S12" i="1" s="1"/>
  <c r="Z11" i="1"/>
  <c r="S11" i="1" s="1"/>
  <c r="D11" i="1"/>
  <c r="F11" i="1" s="1"/>
  <c r="D15" i="1" l="1"/>
  <c r="F15" i="1" s="1"/>
  <c r="D34" i="1"/>
  <c r="F34" i="1" s="1"/>
  <c r="D20" i="1"/>
  <c r="F20" i="1" s="1"/>
  <c r="G20" i="1" s="1"/>
  <c r="D29" i="1"/>
  <c r="F29" i="1" s="1"/>
  <c r="D25" i="1"/>
  <c r="F25" i="1" s="1"/>
  <c r="D13" i="1"/>
  <c r="F13" i="1" s="1"/>
  <c r="G13" i="1" s="1"/>
  <c r="D18" i="1"/>
  <c r="F18" i="1" s="1"/>
  <c r="D22" i="1"/>
  <c r="F22" i="1" s="1"/>
  <c r="D27" i="1"/>
  <c r="F27" i="1" s="1"/>
  <c r="D31" i="1"/>
  <c r="F31" i="1" s="1"/>
  <c r="G11" i="1"/>
  <c r="H11" i="1" s="1"/>
  <c r="I11" i="1" s="1"/>
  <c r="D12" i="1"/>
  <c r="G29" i="1" l="1"/>
  <c r="H29" i="1" s="1"/>
  <c r="G31" i="1"/>
  <c r="I29" i="1"/>
  <c r="E22" i="1"/>
  <c r="G22" i="1" s="1"/>
  <c r="H22" i="1" s="1"/>
  <c r="I22" i="1" s="1"/>
  <c r="H20" i="1"/>
  <c r="I20" i="1" s="1"/>
  <c r="H13" i="1"/>
  <c r="E15" i="1"/>
  <c r="G15" i="1" s="1"/>
  <c r="F12" i="1"/>
  <c r="G12" i="1" s="1"/>
  <c r="H12" i="1" s="1"/>
  <c r="J11" i="1" s="1"/>
  <c r="D32" i="1"/>
  <c r="F32" i="1" s="1"/>
  <c r="D28" i="1"/>
  <c r="F28" i="1" s="1"/>
  <c r="D23" i="1"/>
  <c r="F23" i="1" s="1"/>
  <c r="D19" i="1"/>
  <c r="F19" i="1" s="1"/>
  <c r="D14" i="1"/>
  <c r="F14" i="1" s="1"/>
  <c r="G14" i="1" s="1"/>
  <c r="D35" i="1"/>
  <c r="F35" i="1" s="1"/>
  <c r="D30" i="1"/>
  <c r="F30" i="1" s="1"/>
  <c r="G30" i="1" s="1"/>
  <c r="D26" i="1"/>
  <c r="F26" i="1" s="1"/>
  <c r="D16" i="1"/>
  <c r="F16" i="1" s="1"/>
  <c r="D21" i="1"/>
  <c r="F21" i="1" s="1"/>
  <c r="G21" i="1" s="1"/>
  <c r="O12" i="1"/>
  <c r="P12" i="1" s="1"/>
  <c r="U11" i="1"/>
  <c r="W11" i="1" s="1"/>
  <c r="V11" i="1"/>
  <c r="H31" i="1" l="1"/>
  <c r="I31" i="1" s="1"/>
  <c r="V31" i="1" s="1"/>
  <c r="E34" i="1"/>
  <c r="H30" i="1"/>
  <c r="J29" i="1" s="1"/>
  <c r="E32" i="1"/>
  <c r="G32" i="1" s="1"/>
  <c r="H32" i="1" s="1"/>
  <c r="O30" i="1"/>
  <c r="V29" i="1"/>
  <c r="U29" i="1"/>
  <c r="W29" i="1" s="1"/>
  <c r="M12" i="1"/>
  <c r="M11" i="1"/>
  <c r="H15" i="1"/>
  <c r="E18" i="1"/>
  <c r="G18" i="1" s="1"/>
  <c r="E23" i="1"/>
  <c r="G23" i="1" s="1"/>
  <c r="H21" i="1"/>
  <c r="J20" i="1" s="1"/>
  <c r="H14" i="1"/>
  <c r="E16" i="1"/>
  <c r="G16" i="1" s="1"/>
  <c r="I13" i="1"/>
  <c r="W12" i="1"/>
  <c r="J31" i="1" l="1"/>
  <c r="U31" i="1"/>
  <c r="W31" i="1" s="1"/>
  <c r="M30" i="1"/>
  <c r="M29" i="1"/>
  <c r="P30" i="1"/>
  <c r="Q30" i="1" s="1"/>
  <c r="M32" i="1"/>
  <c r="M31" i="1"/>
  <c r="H23" i="1"/>
  <c r="J22" i="1" s="1"/>
  <c r="H18" i="1"/>
  <c r="I18" i="1" s="1"/>
  <c r="E25" i="1"/>
  <c r="G25" i="1" s="1"/>
  <c r="W30" i="1"/>
  <c r="E19" i="1"/>
  <c r="G19" i="1" s="1"/>
  <c r="H19" i="1" s="1"/>
  <c r="H16" i="1"/>
  <c r="V20" i="1"/>
  <c r="R21" i="1"/>
  <c r="U20" i="1"/>
  <c r="W20" i="1" s="1"/>
  <c r="O21" i="1"/>
  <c r="R20" i="1"/>
  <c r="J13" i="1"/>
  <c r="I15" i="1"/>
  <c r="V13" i="1"/>
  <c r="U13" i="1"/>
  <c r="W13" i="1" s="1"/>
  <c r="R14" i="1"/>
  <c r="O14" i="1"/>
  <c r="W32" i="1" l="1"/>
  <c r="P31" i="1"/>
  <c r="O32" i="1"/>
  <c r="P32" i="1" s="1"/>
  <c r="W21" i="1"/>
  <c r="H25" i="1"/>
  <c r="E27" i="1"/>
  <c r="G27" i="1" s="1"/>
  <c r="I25" i="1"/>
  <c r="E26" i="1"/>
  <c r="G26" i="1" s="1"/>
  <c r="W14" i="1"/>
  <c r="P14" i="1"/>
  <c r="O15" i="1"/>
  <c r="V15" i="1"/>
  <c r="U15" i="1"/>
  <c r="W15" i="1" s="1"/>
  <c r="R16" i="1"/>
  <c r="J18" i="1"/>
  <c r="M14" i="1"/>
  <c r="M13" i="1"/>
  <c r="P21" i="1"/>
  <c r="Q21" i="1" s="1"/>
  <c r="Q22" i="1" s="1"/>
  <c r="O22" i="1"/>
  <c r="V18" i="1"/>
  <c r="U18" i="1"/>
  <c r="W18" i="1" s="1"/>
  <c r="R19" i="1"/>
  <c r="J15" i="1"/>
  <c r="M21" i="1"/>
  <c r="M20" i="1"/>
  <c r="H26" i="1" l="1"/>
  <c r="E28" i="1"/>
  <c r="G28" i="1" s="1"/>
  <c r="G34" i="1"/>
  <c r="H34" i="1" s="1"/>
  <c r="H27" i="1"/>
  <c r="I27" i="1" s="1"/>
  <c r="J25" i="1"/>
  <c r="V25" i="1"/>
  <c r="U25" i="1"/>
  <c r="W25" i="1" s="1"/>
  <c r="W19" i="1"/>
  <c r="M16" i="1"/>
  <c r="M15" i="1"/>
  <c r="W16" i="1"/>
  <c r="M19" i="1"/>
  <c r="M18" i="1"/>
  <c r="P15" i="1"/>
  <c r="Q15" i="1" s="1"/>
  <c r="O16" i="1"/>
  <c r="E35" i="1" l="1"/>
  <c r="G35" i="1" s="1"/>
  <c r="H35" i="1" s="1"/>
  <c r="H28" i="1"/>
  <c r="O28" i="1"/>
  <c r="P28" i="1" s="1"/>
  <c r="V27" i="1"/>
  <c r="U27" i="1"/>
  <c r="W27" i="1" s="1"/>
  <c r="M26" i="1"/>
  <c r="M25" i="1"/>
  <c r="I34" i="1"/>
  <c r="W26" i="1"/>
  <c r="P16" i="1"/>
  <c r="O18" i="1"/>
  <c r="M28" i="1" l="1"/>
  <c r="L39" i="1" s="1"/>
  <c r="M27" i="1"/>
  <c r="U34" i="1"/>
  <c r="W34" i="1" s="1"/>
  <c r="V34" i="1"/>
  <c r="O35" i="1"/>
  <c r="P35" i="1" s="1"/>
  <c r="J27" i="1"/>
  <c r="W28" i="1"/>
  <c r="J34" i="1"/>
  <c r="P18" i="1"/>
  <c r="O19" i="1"/>
  <c r="P19" i="1" s="1"/>
  <c r="Q19" i="1" s="1"/>
  <c r="Q16" i="1"/>
  <c r="Q12" i="1"/>
  <c r="R22" i="1"/>
  <c r="V22" i="1"/>
  <c r="M23" i="1" s="1"/>
  <c r="M22" i="1"/>
  <c r="O23" i="1"/>
  <c r="U22" i="1"/>
  <c r="W22" i="1" s="1"/>
  <c r="M35" i="1" l="1"/>
  <c r="M34" i="1"/>
  <c r="W35" i="1"/>
  <c r="O25" i="1"/>
  <c r="W23" i="1"/>
  <c r="Q23" i="1"/>
  <c r="Q34" i="1"/>
  <c r="Q35" i="1"/>
  <c r="Q18" i="1"/>
  <c r="P25" i="1" l="1"/>
  <c r="O26" i="1"/>
  <c r="P26" i="1" s="1"/>
</calcChain>
</file>

<file path=xl/comments1.xml><?xml version="1.0" encoding="utf-8"?>
<comments xmlns="http://schemas.openxmlformats.org/spreadsheetml/2006/main">
  <authors>
    <author>Renato Fernandes</author>
  </authors>
  <commentList>
    <comment ref="W8" authorId="0" shapeId="0">
      <text>
        <r>
          <rPr>
            <b/>
            <sz val="9"/>
            <color indexed="81"/>
            <rFont val="Segoe UI"/>
            <family val="2"/>
          </rPr>
          <t>Renato Fernandes:</t>
        </r>
        <r>
          <rPr>
            <sz val="9"/>
            <color indexed="81"/>
            <rFont val="Segoe UI"/>
            <family val="2"/>
          </rPr>
          <t xml:space="preserve">
Use os valores dessa coluna para determinar a relação Y/D, V/Vp e R/D apartir da tabela na aba "tabela canais circulares"</t>
        </r>
      </text>
    </comment>
  </commentList>
</comments>
</file>

<file path=xl/sharedStrings.xml><?xml version="1.0" encoding="utf-8"?>
<sst xmlns="http://schemas.openxmlformats.org/spreadsheetml/2006/main" count="152" uniqueCount="65">
  <si>
    <t>Trecho</t>
  </si>
  <si>
    <t>Tx (L.s/m)</t>
  </si>
  <si>
    <t>Vazão de Montante (L/s)</t>
  </si>
  <si>
    <t>Vazão do  trecho (L/s)</t>
  </si>
  <si>
    <t>Vazão de jusante (L/s)</t>
  </si>
  <si>
    <t>Vazão de projeto (L/s)</t>
  </si>
  <si>
    <t>Ip (m/m)</t>
  </si>
  <si>
    <t>Y/D</t>
  </si>
  <si>
    <t>Vel. (m/s)</t>
  </si>
  <si>
    <t>Cota Terreno (m)</t>
  </si>
  <si>
    <t>Cota Coletor (m)</t>
  </si>
  <si>
    <t>Prof. Coletor (m)</t>
  </si>
  <si>
    <t>Prof. PV (m)</t>
  </si>
  <si>
    <t>Tensão Trativa (Pa)</t>
  </si>
  <si>
    <t>Veloc. Crítica (m/s)</t>
  </si>
  <si>
    <t>inicial</t>
  </si>
  <si>
    <t>final</t>
  </si>
  <si>
    <t>montante</t>
  </si>
  <si>
    <t>jusante</t>
  </si>
  <si>
    <t>1-1</t>
  </si>
  <si>
    <t>2-1</t>
  </si>
  <si>
    <t>2-2</t>
  </si>
  <si>
    <t>Qc1</t>
  </si>
  <si>
    <t>1-2</t>
  </si>
  <si>
    <t>3-1</t>
  </si>
  <si>
    <t>3-2</t>
  </si>
  <si>
    <t>Qc2</t>
  </si>
  <si>
    <t>1-3</t>
  </si>
  <si>
    <t>1-4</t>
  </si>
  <si>
    <t>4-1</t>
  </si>
  <si>
    <t>4-2</t>
  </si>
  <si>
    <t>Qc3</t>
  </si>
  <si>
    <t>1-5</t>
  </si>
  <si>
    <t>Comp. (m)</t>
  </si>
  <si>
    <t>LT (m) =</t>
  </si>
  <si>
    <t>Qi (L/s)</t>
  </si>
  <si>
    <t>Qf (L/s)</t>
  </si>
  <si>
    <t>Dados:</t>
  </si>
  <si>
    <t>Prof. Mín:</t>
  </si>
  <si>
    <t>D Calculado (mm)</t>
  </si>
  <si>
    <t>D Adotado (mm)</t>
  </si>
  <si>
    <t>Q/Qp</t>
  </si>
  <si>
    <t>V/Vp</t>
  </si>
  <si>
    <t>Qp (L/s)</t>
  </si>
  <si>
    <t>Vp (m/s)</t>
  </si>
  <si>
    <t>Planilha Auxiliar</t>
  </si>
  <si>
    <t>R/D</t>
  </si>
  <si>
    <t>R (m)</t>
  </si>
  <si>
    <t>Calcular tomando como base a população de fim de plano</t>
  </si>
  <si>
    <t>Valor mínimo é de 0.90 m</t>
  </si>
  <si>
    <t>−</t>
  </si>
  <si>
    <t>-</t>
  </si>
  <si>
    <t>Verificação:</t>
  </si>
  <si>
    <t>Y/D max:</t>
  </si>
  <si>
    <t>Tensão T.:</t>
  </si>
  <si>
    <t>Vel. mín:</t>
  </si>
  <si>
    <t>Situação:</t>
  </si>
  <si>
    <t>Somatório de todos os trechos da rede</t>
  </si>
  <si>
    <t>Calcular tomando como base a população de início de plano</t>
  </si>
  <si>
    <t>UNIVERSIDADE REGIONAL DO CARIRI - URCA</t>
  </si>
  <si>
    <t>PLANILHA DE DIMENSIONAMENTO DA REDE DE ESGOTO</t>
  </si>
  <si>
    <t>DISCIPLINA: SANEAMENTO BÁSICO</t>
  </si>
  <si>
    <t>PROF. RENATO DE OLIVEIRA FERNANDES.</t>
  </si>
  <si>
    <t>Nome do aluno (a) :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</si>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</sst>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"/>
    <numFmt numFmtId="166" formatCode="0.00000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6" fontId="0" fillId="2" borderId="0" xfId="0" applyNumberFormat="1" applyFill="1" applyBorder="1"/>
    <xf numFmtId="2" fontId="1" fillId="2" borderId="1" xfId="0" applyNumberFormat="1" applyFont="1" applyFill="1" applyBorder="1"/>
    <xf numFmtId="0" fontId="0" fillId="2" borderId="0" xfId="0" applyFont="1" applyFill="1" applyBorder="1"/>
    <xf numFmtId="2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horizontal="left"/>
    </xf>
    <xf numFmtId="165" fontId="0" fillId="2" borderId="0" xfId="0" applyNumberFormat="1" applyFill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0" fillId="2" borderId="17" xfId="0" applyFill="1" applyBorder="1"/>
    <xf numFmtId="0" fontId="0" fillId="2" borderId="16" xfId="0" applyFill="1" applyBorder="1"/>
    <xf numFmtId="0" fontId="0" fillId="2" borderId="17" xfId="0" applyFont="1" applyFill="1" applyBorder="1"/>
    <xf numFmtId="0" fontId="0" fillId="2" borderId="16" xfId="0" applyFont="1" applyFill="1" applyBorder="1"/>
    <xf numFmtId="0" fontId="3" fillId="2" borderId="17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2" fontId="1" fillId="2" borderId="22" xfId="0" applyNumberFormat="1" applyFont="1" applyFill="1" applyBorder="1"/>
    <xf numFmtId="0" fontId="0" fillId="2" borderId="24" xfId="0" applyFill="1" applyBorder="1"/>
    <xf numFmtId="2" fontId="4" fillId="2" borderId="22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43" xfId="0" applyFont="1" applyFill="1" applyBorder="1" applyAlignment="1"/>
    <xf numFmtId="0" fontId="9" fillId="2" borderId="25" xfId="0" applyFont="1" applyFill="1" applyBorder="1" applyAlignment="1"/>
    <xf numFmtId="0" fontId="9" fillId="2" borderId="6" xfId="0" applyFont="1" applyFill="1" applyBorder="1" applyAlignment="1"/>
    <xf numFmtId="0" fontId="9" fillId="2" borderId="25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/>
    </xf>
    <xf numFmtId="0" fontId="4" fillId="2" borderId="31" xfId="0" applyFont="1" applyFill="1" applyBorder="1" applyAlignment="1"/>
    <xf numFmtId="165" fontId="4" fillId="2" borderId="27" xfId="0" applyNumberFormat="1" applyFont="1" applyFill="1" applyBorder="1" applyAlignment="1">
      <alignment horizontal="center"/>
    </xf>
    <xf numFmtId="2" fontId="4" fillId="2" borderId="27" xfId="0" applyNumberFormat="1" applyFont="1" applyFill="1" applyBorder="1" applyAlignment="1">
      <alignment horizontal="center"/>
    </xf>
    <xf numFmtId="2" fontId="4" fillId="2" borderId="32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164" fontId="4" fillId="2" borderId="27" xfId="0" applyNumberFormat="1" applyFont="1" applyFill="1" applyBorder="1" applyAlignment="1"/>
    <xf numFmtId="167" fontId="4" fillId="2" borderId="27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0" fontId="4" fillId="2" borderId="21" xfId="0" applyFont="1" applyFill="1" applyBorder="1" applyAlignment="1"/>
    <xf numFmtId="165" fontId="4" fillId="2" borderId="22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/>
    <xf numFmtId="2" fontId="4" fillId="2" borderId="24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49" fontId="4" fillId="2" borderId="35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165" fontId="10" fillId="2" borderId="36" xfId="0" applyNumberFormat="1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167" fontId="4" fillId="2" borderId="22" xfId="0" applyNumberFormat="1" applyFont="1" applyFill="1" applyBorder="1" applyAlignment="1">
      <alignment horizontal="center"/>
    </xf>
    <xf numFmtId="167" fontId="4" fillId="2" borderId="37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167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/>
    <xf numFmtId="0" fontId="4" fillId="2" borderId="5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167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2" fontId="4" fillId="2" borderId="29" xfId="0" applyNumberFormat="1" applyFont="1" applyFill="1" applyBorder="1" applyAlignment="1">
      <alignment horizontal="center"/>
    </xf>
    <xf numFmtId="49" fontId="4" fillId="2" borderId="39" xfId="0" applyNumberFormat="1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167" fontId="4" fillId="2" borderId="40" xfId="0" applyNumberFormat="1" applyFont="1" applyFill="1" applyBorder="1" applyAlignment="1">
      <alignment horizontal="center"/>
    </xf>
    <xf numFmtId="165" fontId="4" fillId="2" borderId="40" xfId="0" applyNumberFormat="1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4" fillId="2" borderId="1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2" borderId="2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502228</xdr:colOff>
      <xdr:row>0</xdr:row>
      <xdr:rowOff>51952</xdr:rowOff>
    </xdr:from>
    <xdr:to>
      <xdr:col>14</xdr:col>
      <xdr:colOff>563657</xdr:colOff>
      <xdr:row>52</xdr:row>
      <xdr:rowOff>86590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D158D4-D9B5-48C3-A1B6-F67F4ADF6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8646" y="1051670"/>
          <a:ext cx="9940638" cy="794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120699</xdr:colOff>
      <xdr:row>52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B6FE7D-9C50-4807-B900-839EC2477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311250" y="1311250"/>
          <a:ext cx="10058400" cy="743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tabSelected="1" zoomScale="70" zoomScaleNormal="70" workbookViewId="0">
      <selection activeCell="AA23" sqref="AA23"/>
    </sheetView>
  </sheetViews>
  <sheetFormatPr defaultRowHeight="15" x14ac:dyDescent="0.25"/>
  <cols>
    <col min="1" max="1" width="9.140625" style="1"/>
    <col min="2" max="2" width="9.140625" style="2"/>
    <col min="3" max="3" width="8.85546875" style="2" bestFit="1" customWidth="1"/>
    <col min="4" max="4" width="8" style="3" customWidth="1"/>
    <col min="5" max="5" width="12.42578125" style="3" bestFit="1" customWidth="1"/>
    <col min="6" max="6" width="14.85546875" style="2" bestFit="1" customWidth="1"/>
    <col min="7" max="7" width="11.5703125" style="2" bestFit="1" customWidth="1"/>
    <col min="8" max="8" width="12.140625" style="2" bestFit="1" customWidth="1"/>
    <col min="9" max="9" width="9.140625" style="2"/>
    <col min="10" max="10" width="13.140625" style="2" bestFit="1" customWidth="1"/>
    <col min="11" max="11" width="11.42578125" style="2" bestFit="1" customWidth="1"/>
    <col min="12" max="12" width="9.140625" style="2"/>
    <col min="13" max="13" width="12.5703125" style="2" customWidth="1"/>
    <col min="14" max="14" width="11" style="2" customWidth="1"/>
    <col min="15" max="17" width="9.7109375" style="2" bestFit="1" customWidth="1"/>
    <col min="18" max="18" width="10.5703125" style="2" customWidth="1"/>
    <col min="19" max="19" width="9.140625" style="2" customWidth="1"/>
    <col min="20" max="20" width="2.85546875" style="1" customWidth="1"/>
    <col min="21" max="22" width="9.140625" style="4"/>
    <col min="23" max="23" width="9.28515625" style="4" customWidth="1"/>
    <col min="24" max="24" width="7" style="4" bestFit="1" customWidth="1"/>
    <col min="25" max="26" width="9.140625" style="4"/>
    <col min="27" max="27" width="8.85546875" style="1"/>
    <col min="28" max="16384" width="9.140625" style="4"/>
  </cols>
  <sheetData>
    <row r="1" spans="1:40" ht="15.75" thickBot="1" x14ac:dyDescent="0.3"/>
    <row r="2" spans="1:40" x14ac:dyDescent="0.25">
      <c r="B2" s="5" t="s">
        <v>60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40" x14ac:dyDescent="0.25">
      <c r="B3" s="54" t="s">
        <v>59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1:40" x14ac:dyDescent="0.25">
      <c r="B4" s="54" t="s">
        <v>61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40" x14ac:dyDescent="0.25">
      <c r="B5" s="54" t="s">
        <v>62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0" ht="15.75" thickBot="1" x14ac:dyDescent="0.3">
      <c r="B6" s="57" t="s">
        <v>63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 t="s">
        <v>64</v>
      </c>
      <c r="Q6" s="60"/>
      <c r="R6" s="60"/>
      <c r="S6" s="6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40" s="10" customFormat="1" ht="15.75" thickBot="1" x14ac:dyDescent="0.3">
      <c r="A7" s="1"/>
      <c r="B7" s="62">
        <v>1</v>
      </c>
      <c r="C7" s="63">
        <v>2</v>
      </c>
      <c r="D7" s="64">
        <v>3</v>
      </c>
      <c r="E7" s="64">
        <v>4</v>
      </c>
      <c r="F7" s="65">
        <v>5</v>
      </c>
      <c r="G7" s="64">
        <v>6</v>
      </c>
      <c r="H7" s="64">
        <v>7</v>
      </c>
      <c r="I7" s="64">
        <v>8</v>
      </c>
      <c r="J7" s="64">
        <v>9</v>
      </c>
      <c r="K7" s="64">
        <v>10</v>
      </c>
      <c r="L7" s="64">
        <v>11</v>
      </c>
      <c r="M7" s="64">
        <v>12</v>
      </c>
      <c r="N7" s="64">
        <v>13</v>
      </c>
      <c r="O7" s="64">
        <v>14</v>
      </c>
      <c r="P7" s="64">
        <v>15</v>
      </c>
      <c r="Q7" s="64">
        <v>16</v>
      </c>
      <c r="R7" s="64">
        <v>17</v>
      </c>
      <c r="S7" s="66">
        <v>18</v>
      </c>
      <c r="T7" s="1"/>
      <c r="U7" s="38" t="s">
        <v>45</v>
      </c>
      <c r="V7" s="39"/>
      <c r="W7" s="39"/>
      <c r="X7" s="39"/>
      <c r="Y7" s="39"/>
      <c r="Z7" s="40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9"/>
    </row>
    <row r="8" spans="1:40" s="16" customFormat="1" ht="45" x14ac:dyDescent="0.25">
      <c r="A8" s="11"/>
      <c r="B8" s="67" t="s">
        <v>0</v>
      </c>
      <c r="C8" s="68" t="s">
        <v>33</v>
      </c>
      <c r="D8" s="69" t="s">
        <v>1</v>
      </c>
      <c r="E8" s="69" t="s">
        <v>2</v>
      </c>
      <c r="F8" s="70" t="s">
        <v>3</v>
      </c>
      <c r="G8" s="69" t="s">
        <v>4</v>
      </c>
      <c r="H8" s="69" t="s">
        <v>5</v>
      </c>
      <c r="I8" s="71" t="s">
        <v>6</v>
      </c>
      <c r="J8" s="71" t="s">
        <v>39</v>
      </c>
      <c r="K8" s="71" t="s">
        <v>40</v>
      </c>
      <c r="L8" s="70" t="s">
        <v>7</v>
      </c>
      <c r="M8" s="69" t="s">
        <v>8</v>
      </c>
      <c r="N8" s="69" t="s">
        <v>9</v>
      </c>
      <c r="O8" s="69" t="s">
        <v>10</v>
      </c>
      <c r="P8" s="69" t="s">
        <v>11</v>
      </c>
      <c r="Q8" s="72" t="s">
        <v>12</v>
      </c>
      <c r="R8" s="71" t="s">
        <v>13</v>
      </c>
      <c r="S8" s="73" t="s">
        <v>14</v>
      </c>
      <c r="T8" s="11"/>
      <c r="U8" s="12" t="s">
        <v>43</v>
      </c>
      <c r="V8" s="14" t="s">
        <v>44</v>
      </c>
      <c r="W8" s="15" t="s">
        <v>41</v>
      </c>
      <c r="X8" s="13" t="s">
        <v>42</v>
      </c>
      <c r="Y8" s="13" t="s">
        <v>46</v>
      </c>
      <c r="Z8" s="41" t="s">
        <v>47</v>
      </c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40" x14ac:dyDescent="0.25">
      <c r="B9" s="74"/>
      <c r="C9" s="75"/>
      <c r="D9" s="76" t="s">
        <v>15</v>
      </c>
      <c r="E9" s="76" t="s">
        <v>15</v>
      </c>
      <c r="F9" s="77" t="s">
        <v>15</v>
      </c>
      <c r="G9" s="76" t="s">
        <v>15</v>
      </c>
      <c r="H9" s="76" t="s">
        <v>15</v>
      </c>
      <c r="I9" s="78"/>
      <c r="J9" s="78"/>
      <c r="K9" s="78"/>
      <c r="L9" s="77" t="s">
        <v>15</v>
      </c>
      <c r="M9" s="76" t="s">
        <v>15</v>
      </c>
      <c r="N9" s="76" t="s">
        <v>17</v>
      </c>
      <c r="O9" s="76" t="s">
        <v>17</v>
      </c>
      <c r="P9" s="76" t="s">
        <v>17</v>
      </c>
      <c r="Q9" s="79" t="s">
        <v>17</v>
      </c>
      <c r="R9" s="78"/>
      <c r="S9" s="80"/>
      <c r="U9" s="12"/>
      <c r="V9" s="14"/>
      <c r="W9" s="17" t="s">
        <v>15</v>
      </c>
      <c r="X9" s="18" t="s">
        <v>15</v>
      </c>
      <c r="Y9" s="18" t="s">
        <v>15</v>
      </c>
      <c r="Z9" s="42" t="s">
        <v>15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40" ht="15.75" thickBot="1" x14ac:dyDescent="0.3">
      <c r="B10" s="81"/>
      <c r="C10" s="82"/>
      <c r="D10" s="83" t="s">
        <v>16</v>
      </c>
      <c r="E10" s="83" t="s">
        <v>16</v>
      </c>
      <c r="F10" s="84" t="s">
        <v>16</v>
      </c>
      <c r="G10" s="83" t="s">
        <v>16</v>
      </c>
      <c r="H10" s="83" t="s">
        <v>16</v>
      </c>
      <c r="I10" s="85"/>
      <c r="J10" s="85"/>
      <c r="K10" s="85"/>
      <c r="L10" s="84" t="s">
        <v>16</v>
      </c>
      <c r="M10" s="83" t="s">
        <v>16</v>
      </c>
      <c r="N10" s="83" t="s">
        <v>18</v>
      </c>
      <c r="O10" s="83" t="s">
        <v>18</v>
      </c>
      <c r="P10" s="83" t="s">
        <v>18</v>
      </c>
      <c r="Q10" s="86" t="s">
        <v>18</v>
      </c>
      <c r="R10" s="85"/>
      <c r="S10" s="87"/>
      <c r="U10" s="12"/>
      <c r="V10" s="14"/>
      <c r="W10" s="19" t="s">
        <v>16</v>
      </c>
      <c r="X10" s="20" t="s">
        <v>16</v>
      </c>
      <c r="Y10" s="20" t="s">
        <v>16</v>
      </c>
      <c r="Z10" s="42" t="s">
        <v>16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40" s="10" customFormat="1" x14ac:dyDescent="0.25">
      <c r="A11" s="1"/>
      <c r="B11" s="88" t="s">
        <v>19</v>
      </c>
      <c r="C11" s="89">
        <v>100</v>
      </c>
      <c r="D11" s="90">
        <f>C38/C37</f>
        <v>2.144638403990025E-3</v>
      </c>
      <c r="E11" s="91">
        <v>0</v>
      </c>
      <c r="F11" s="92">
        <f>D11*C11</f>
        <v>0.21446384039900249</v>
      </c>
      <c r="G11" s="91">
        <f t="shared" ref="G11:G16" si="0">F11+E11</f>
        <v>0.21446384039900249</v>
      </c>
      <c r="H11" s="93">
        <f t="shared" ref="H11:H15" si="1">IF(G11&lt;1.5,1.5,G11)</f>
        <v>1.5</v>
      </c>
      <c r="I11" s="94">
        <f>IF((N11-N12)/C11&lt;(0.0055*H11^-0.47),(0.0055*H11^-0.47),(N13-N14)/C13)</f>
        <v>4.5456898188060094E-3</v>
      </c>
      <c r="J11" s="95">
        <f>(0.3145*((H12/1000)/SQRT(I11))^(3/8))*1000</f>
        <v>75.484000676516601</v>
      </c>
      <c r="K11" s="93">
        <v>150</v>
      </c>
      <c r="L11" s="93">
        <v>0.26</v>
      </c>
      <c r="M11" s="90">
        <f>V11*X11</f>
        <v>0.41632043276160385</v>
      </c>
      <c r="N11" s="91">
        <v>792</v>
      </c>
      <c r="O11" s="91">
        <f>N11-C40</f>
        <v>790.9</v>
      </c>
      <c r="P11" s="91">
        <f t="shared" ref="P11:P16" si="2">N11-O11</f>
        <v>1.1000000000000227</v>
      </c>
      <c r="Q11" s="91">
        <f>P11</f>
        <v>1.1000000000000227</v>
      </c>
      <c r="R11" s="91">
        <f>10^4*Z11*I11</f>
        <v>1.0336898647964865</v>
      </c>
      <c r="S11" s="96">
        <f t="shared" ref="S11:S16" si="3">6*SQRT(Z11*9.8)</f>
        <v>2.8324321704146778</v>
      </c>
      <c r="T11" s="21"/>
      <c r="U11" s="43">
        <f>(23.976*(K11/1000)^(8/3)*SQRT(I11))*1000</f>
        <v>10.268018747824184</v>
      </c>
      <c r="V11" s="10">
        <f>30.527*(K11/1000)^(2/3)*SQRT(I11)</f>
        <v>0.5810473590531805</v>
      </c>
      <c r="W11" s="22">
        <f>H11/U11</f>
        <v>0.1460846573072194</v>
      </c>
      <c r="X11" s="10">
        <v>0.71650000000000003</v>
      </c>
      <c r="Y11" s="10">
        <v>0.15160000000000001</v>
      </c>
      <c r="Z11" s="44">
        <f>Y11*(K11/1000)</f>
        <v>2.274E-2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9"/>
    </row>
    <row r="12" spans="1:40" s="10" customFormat="1" ht="15.75" thickBot="1" x14ac:dyDescent="0.3">
      <c r="A12" s="1"/>
      <c r="B12" s="97"/>
      <c r="C12" s="98"/>
      <c r="D12" s="99">
        <f>C39/C37</f>
        <v>3.1970074812967581E-3</v>
      </c>
      <c r="E12" s="52">
        <v>0</v>
      </c>
      <c r="F12" s="100">
        <f>D12*C11</f>
        <v>0.3197007481296758</v>
      </c>
      <c r="G12" s="52">
        <f t="shared" si="0"/>
        <v>0.3197007481296758</v>
      </c>
      <c r="H12" s="64">
        <f t="shared" si="1"/>
        <v>1.5</v>
      </c>
      <c r="I12" s="101"/>
      <c r="J12" s="64"/>
      <c r="K12" s="64"/>
      <c r="L12" s="64">
        <v>0.26</v>
      </c>
      <c r="M12" s="99">
        <f>V11*X12</f>
        <v>0.41632043276160385</v>
      </c>
      <c r="N12" s="52">
        <v>791.6</v>
      </c>
      <c r="O12" s="52">
        <f>O11-(I11*C11)</f>
        <v>790.44543101811939</v>
      </c>
      <c r="P12" s="52">
        <f t="shared" si="2"/>
        <v>1.1545689818806295</v>
      </c>
      <c r="Q12" s="52">
        <f>P16</f>
        <v>1.2272870789472563</v>
      </c>
      <c r="R12" s="52">
        <f>10^4*Z12*I11</f>
        <v>1.0336898647964865</v>
      </c>
      <c r="S12" s="102">
        <f t="shared" si="3"/>
        <v>2.8324321704146778</v>
      </c>
      <c r="T12" s="1"/>
      <c r="U12" s="43"/>
      <c r="W12" s="22">
        <f>H12/U11</f>
        <v>0.1460846573072194</v>
      </c>
      <c r="X12" s="10">
        <v>0.71650000000000003</v>
      </c>
      <c r="Y12" s="10">
        <v>0.15160000000000001</v>
      </c>
      <c r="Z12" s="44">
        <f>Y12*(K11/1000)</f>
        <v>2.274E-2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9"/>
    </row>
    <row r="13" spans="1:40" s="25" customFormat="1" x14ac:dyDescent="0.25">
      <c r="A13" s="23"/>
      <c r="B13" s="88" t="s">
        <v>20</v>
      </c>
      <c r="C13" s="103">
        <v>75</v>
      </c>
      <c r="D13" s="90">
        <f>$D$11</f>
        <v>2.144638403990025E-3</v>
      </c>
      <c r="E13" s="91">
        <v>0</v>
      </c>
      <c r="F13" s="92">
        <f>D13*C13</f>
        <v>0.16084788029925187</v>
      </c>
      <c r="G13" s="91">
        <f t="shared" si="0"/>
        <v>0.16084788029925187</v>
      </c>
      <c r="H13" s="93">
        <f t="shared" si="1"/>
        <v>1.5</v>
      </c>
      <c r="I13" s="94">
        <f>IF((N13-N14)/C13&lt;(0.0055*H13^-0.47),(0.0055*H13^-0.47),(N13-N14)/C13)</f>
        <v>4.6666666666669698E-3</v>
      </c>
      <c r="J13" s="95">
        <f>(0.3145*((H14/1000)/SQRT(I13))^(3/8))*1000</f>
        <v>75.113171661551135</v>
      </c>
      <c r="K13" s="93">
        <v>150</v>
      </c>
      <c r="L13" s="93">
        <v>0.25</v>
      </c>
      <c r="M13" s="90">
        <f>V13*X13</f>
        <v>0.41252202475069555</v>
      </c>
      <c r="N13" s="91">
        <v>792.1</v>
      </c>
      <c r="O13" s="91">
        <f>N13-C40</f>
        <v>791</v>
      </c>
      <c r="P13" s="91">
        <f t="shared" si="2"/>
        <v>1.1000000000000227</v>
      </c>
      <c r="Q13" s="91">
        <f>P13</f>
        <v>1.1000000000000227</v>
      </c>
      <c r="R13" s="91">
        <f>10^4*Z13*I13</f>
        <v>1.0262000000000666</v>
      </c>
      <c r="S13" s="96">
        <f t="shared" si="3"/>
        <v>2.7853315781069945</v>
      </c>
      <c r="T13" s="23"/>
      <c r="U13" s="45">
        <f>(23.976*(K13/1000)^(8/3)*SQRT(I13))*1000</f>
        <v>10.403755675647925</v>
      </c>
      <c r="V13" s="25">
        <f>30.527*(K13/1000)^(2/3)*SQRT(I13)</f>
        <v>0.58872844976551386</v>
      </c>
      <c r="W13" s="22">
        <f>H13/U13</f>
        <v>0.14417870303423699</v>
      </c>
      <c r="X13" s="25">
        <v>0.70069999999999999</v>
      </c>
      <c r="Y13" s="25">
        <v>0.14660000000000001</v>
      </c>
      <c r="Z13" s="46">
        <f>Y13*(K13/1000)</f>
        <v>2.1989999999999999E-2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6"/>
    </row>
    <row r="14" spans="1:40" s="25" customFormat="1" ht="15.75" thickBot="1" x14ac:dyDescent="0.3">
      <c r="A14" s="23"/>
      <c r="B14" s="97"/>
      <c r="C14" s="63"/>
      <c r="D14" s="99">
        <f>$D$12</f>
        <v>3.1970074812967581E-3</v>
      </c>
      <c r="E14" s="52">
        <v>0</v>
      </c>
      <c r="F14" s="100">
        <f>D14*C13</f>
        <v>0.23977556109725687</v>
      </c>
      <c r="G14" s="52">
        <f t="shared" si="0"/>
        <v>0.23977556109725687</v>
      </c>
      <c r="H14" s="64">
        <f t="shared" si="1"/>
        <v>1.5</v>
      </c>
      <c r="I14" s="64"/>
      <c r="J14" s="64"/>
      <c r="K14" s="64"/>
      <c r="L14" s="64">
        <v>0.25</v>
      </c>
      <c r="M14" s="99">
        <f>V13*X14</f>
        <v>0.41252202475069555</v>
      </c>
      <c r="N14" s="52">
        <v>791.75</v>
      </c>
      <c r="O14" s="52">
        <f>O13-(I13*C13)</f>
        <v>790.65</v>
      </c>
      <c r="P14" s="52">
        <f t="shared" si="2"/>
        <v>1.1000000000000227</v>
      </c>
      <c r="Q14" s="52">
        <f>P14</f>
        <v>1.1000000000000227</v>
      </c>
      <c r="R14" s="52">
        <f>10^4*Z14*I13</f>
        <v>1.0262000000000666</v>
      </c>
      <c r="S14" s="102">
        <f t="shared" si="3"/>
        <v>2.7853315781069945</v>
      </c>
      <c r="T14" s="23"/>
      <c r="U14" s="45"/>
      <c r="W14" s="22">
        <f>H14/U13</f>
        <v>0.14417870303423699</v>
      </c>
      <c r="X14" s="25">
        <v>0.70069999999999999</v>
      </c>
      <c r="Y14" s="25">
        <v>0.14660000000000001</v>
      </c>
      <c r="Z14" s="46">
        <f>Y14*(K13/1000)</f>
        <v>2.1989999999999999E-2</v>
      </c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6"/>
    </row>
    <row r="15" spans="1:40" s="25" customFormat="1" x14ac:dyDescent="0.25">
      <c r="A15" s="23"/>
      <c r="B15" s="88" t="s">
        <v>21</v>
      </c>
      <c r="C15" s="103">
        <v>61</v>
      </c>
      <c r="D15" s="90">
        <f>$D$11</f>
        <v>2.144638403990025E-3</v>
      </c>
      <c r="E15" s="91">
        <f>G13</f>
        <v>0.16084788029925187</v>
      </c>
      <c r="F15" s="92">
        <f>D15*C15</f>
        <v>0.13082294264339153</v>
      </c>
      <c r="G15" s="91">
        <f t="shared" si="0"/>
        <v>0.2916708229426434</v>
      </c>
      <c r="H15" s="93">
        <f t="shared" si="1"/>
        <v>1.5</v>
      </c>
      <c r="I15" s="94">
        <f>IF((N15-N16)/C15&lt;(0.0055*H15^-0.47),(0.0055*H15^-0.47),(N15-N16)/C15)</f>
        <v>4.5456898188060094E-3</v>
      </c>
      <c r="J15" s="95">
        <f>(0.3145*((H16/1000)/SQRT(I15))^(3/8))*1000</f>
        <v>75.484000676516601</v>
      </c>
      <c r="K15" s="93">
        <v>150</v>
      </c>
      <c r="L15" s="93">
        <v>0.26</v>
      </c>
      <c r="M15" s="90">
        <f>V15*X15</f>
        <v>0.41632043276160385</v>
      </c>
      <c r="N15" s="91">
        <v>791.75</v>
      </c>
      <c r="O15" s="91">
        <f>O14</f>
        <v>790.65</v>
      </c>
      <c r="P15" s="91">
        <f t="shared" si="2"/>
        <v>1.1000000000000227</v>
      </c>
      <c r="Q15" s="91">
        <f>P15</f>
        <v>1.1000000000000227</v>
      </c>
      <c r="R15" s="91">
        <f>10^4*Z15*I15</f>
        <v>1.0336898647964865</v>
      </c>
      <c r="S15" s="96">
        <f t="shared" si="3"/>
        <v>2.8324321704146778</v>
      </c>
      <c r="T15" s="23"/>
      <c r="U15" s="45">
        <f>(23.976*(K15/1000)^(8/3)*SQRT(I15))*1000</f>
        <v>10.268018747824184</v>
      </c>
      <c r="V15" s="25">
        <f>30.527*(K15/1000)^(2/3)*SQRT(I15)</f>
        <v>0.5810473590531805</v>
      </c>
      <c r="W15" s="22">
        <f>H15/U15</f>
        <v>0.1460846573072194</v>
      </c>
      <c r="X15" s="25">
        <v>0.71650000000000003</v>
      </c>
      <c r="Y15" s="25">
        <v>0.15160000000000001</v>
      </c>
      <c r="Z15" s="46">
        <f>Y15*(K15/1000)</f>
        <v>2.274E-2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6"/>
    </row>
    <row r="16" spans="1:40" s="10" customFormat="1" ht="15.75" thickBot="1" x14ac:dyDescent="0.3">
      <c r="A16" s="1"/>
      <c r="B16" s="97"/>
      <c r="C16" s="63"/>
      <c r="D16" s="99">
        <f>$D$12</f>
        <v>3.1970074812967581E-3</v>
      </c>
      <c r="E16" s="52">
        <f>G14</f>
        <v>0.23977556109725687</v>
      </c>
      <c r="F16" s="100">
        <f>D16*C15</f>
        <v>0.19501745635910225</v>
      </c>
      <c r="G16" s="52">
        <f t="shared" si="0"/>
        <v>0.43479301745635912</v>
      </c>
      <c r="H16" s="64">
        <f>IF(G16&lt;1.5,1.5,G16)</f>
        <v>1.5</v>
      </c>
      <c r="I16" s="64"/>
      <c r="J16" s="64"/>
      <c r="K16" s="64"/>
      <c r="L16" s="64">
        <v>0.26</v>
      </c>
      <c r="M16" s="99">
        <f>V15*X16</f>
        <v>0.41632043276160385</v>
      </c>
      <c r="N16" s="52">
        <v>791.6</v>
      </c>
      <c r="O16" s="52">
        <f>O15-(I15*C15)</f>
        <v>790.37271292105277</v>
      </c>
      <c r="P16" s="52">
        <f t="shared" si="2"/>
        <v>1.2272870789472563</v>
      </c>
      <c r="Q16" s="52">
        <f>P16</f>
        <v>1.2272870789472563</v>
      </c>
      <c r="R16" s="52">
        <f>10^4*Z16*I15</f>
        <v>1.0336898647964865</v>
      </c>
      <c r="S16" s="102">
        <f t="shared" si="3"/>
        <v>2.8324321704146778</v>
      </c>
      <c r="T16" s="1"/>
      <c r="U16" s="43"/>
      <c r="W16" s="22">
        <f>H16/U15</f>
        <v>0.1460846573072194</v>
      </c>
      <c r="X16" s="10">
        <v>0.71650000000000003</v>
      </c>
      <c r="Y16" s="10">
        <v>0.15160000000000001</v>
      </c>
      <c r="Z16" s="44">
        <f>Y16*(K15/1000)</f>
        <v>2.274E-2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9"/>
    </row>
    <row r="17" spans="1:40" s="10" customFormat="1" ht="15.75" thickBot="1" x14ac:dyDescent="0.3">
      <c r="A17" s="1"/>
      <c r="B17" s="104" t="s">
        <v>22</v>
      </c>
      <c r="C17" s="105" t="s">
        <v>50</v>
      </c>
      <c r="D17" s="106" t="s">
        <v>50</v>
      </c>
      <c r="E17" s="105" t="s">
        <v>50</v>
      </c>
      <c r="F17" s="106" t="s">
        <v>50</v>
      </c>
      <c r="G17" s="107">
        <v>2.4</v>
      </c>
      <c r="H17" s="107">
        <f>IF(G17&lt;1.5,1.5,G17)</f>
        <v>2.4</v>
      </c>
      <c r="I17" s="105" t="s">
        <v>50</v>
      </c>
      <c r="J17" s="106" t="s">
        <v>50</v>
      </c>
      <c r="K17" s="105" t="s">
        <v>50</v>
      </c>
      <c r="L17" s="106" t="s">
        <v>50</v>
      </c>
      <c r="M17" s="108" t="s">
        <v>50</v>
      </c>
      <c r="N17" s="106" t="s">
        <v>50</v>
      </c>
      <c r="O17" s="105" t="s">
        <v>50</v>
      </c>
      <c r="P17" s="106" t="s">
        <v>50</v>
      </c>
      <c r="Q17" s="105" t="s">
        <v>50</v>
      </c>
      <c r="R17" s="106" t="s">
        <v>50</v>
      </c>
      <c r="S17" s="109" t="s">
        <v>50</v>
      </c>
      <c r="T17" s="37"/>
      <c r="U17" s="47" t="s">
        <v>50</v>
      </c>
      <c r="V17" s="27" t="s">
        <v>50</v>
      </c>
      <c r="W17" s="31" t="s">
        <v>50</v>
      </c>
      <c r="X17" s="27" t="s">
        <v>50</v>
      </c>
      <c r="Y17" s="28" t="s">
        <v>50</v>
      </c>
      <c r="Z17" s="30" t="s">
        <v>50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9"/>
    </row>
    <row r="18" spans="1:40" s="10" customFormat="1" x14ac:dyDescent="0.25">
      <c r="A18" s="1"/>
      <c r="B18" s="88" t="s">
        <v>23</v>
      </c>
      <c r="C18" s="103">
        <v>100</v>
      </c>
      <c r="D18" s="90">
        <f>$D$11</f>
        <v>2.144638403990025E-3</v>
      </c>
      <c r="E18" s="91">
        <f>(G15+G11)</f>
        <v>0.50613466334164592</v>
      </c>
      <c r="F18" s="92">
        <f>D18*C18</f>
        <v>0.21446384039900249</v>
      </c>
      <c r="G18" s="91">
        <f t="shared" ref="G18:G23" si="4">F18+E18</f>
        <v>0.72059850374064838</v>
      </c>
      <c r="H18" s="95">
        <f t="shared" ref="H18:H35" si="5">IF(G18&lt;1.5,1.5,G18)</f>
        <v>1.5</v>
      </c>
      <c r="I18" s="94">
        <f>IF((N18-N19)/C18&lt;(0.0055*H18^-0.47),(0.0055*H18^-0.47),(N18-N19)/C18)</f>
        <v>5.0000000000000001E-3</v>
      </c>
      <c r="J18" s="95">
        <f>(0.3145*((H19/1000)/SQRT(I18))^(3/8))*1000</f>
        <v>101.59774594577716</v>
      </c>
      <c r="K18" s="93">
        <v>150</v>
      </c>
      <c r="L18" s="93">
        <v>0.25</v>
      </c>
      <c r="M18" s="90">
        <f>V18*X18</f>
        <v>0.42700086262592996</v>
      </c>
      <c r="N18" s="91">
        <v>791.6</v>
      </c>
      <c r="O18" s="91">
        <f>O16</f>
        <v>790.37271292105277</v>
      </c>
      <c r="P18" s="91">
        <f t="shared" ref="P18:P35" si="6">N18-O18</f>
        <v>1.2272870789472563</v>
      </c>
      <c r="Q18" s="91">
        <f>Q16</f>
        <v>1.2272870789472563</v>
      </c>
      <c r="R18" s="91">
        <f>10^4*Z18*I18</f>
        <v>1.0994999999999999</v>
      </c>
      <c r="S18" s="96">
        <f t="shared" ref="S18:S35" si="7">6*SQRT(Z18*9.8)</f>
        <v>2.7853315781069945</v>
      </c>
      <c r="T18" s="1"/>
      <c r="U18" s="43">
        <f>(23.976*(K18/1000)^(8/3)*SQRT(I18))*1000</f>
        <v>10.768910219365418</v>
      </c>
      <c r="V18" s="10">
        <f>30.527*(K18/1000)^(2/3)*SQRT(I18)</f>
        <v>0.60939184048227479</v>
      </c>
      <c r="W18" s="22">
        <f>H18/U18</f>
        <v>0.13928986029641083</v>
      </c>
      <c r="X18" s="10">
        <v>0.70069999999999999</v>
      </c>
      <c r="Y18" s="10">
        <v>0.14660000000000001</v>
      </c>
      <c r="Z18" s="44">
        <f>Y18*(K18/1000)</f>
        <v>2.1989999999999999E-2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9"/>
    </row>
    <row r="19" spans="1:40" s="10" customFormat="1" ht="15.75" thickBot="1" x14ac:dyDescent="0.3">
      <c r="A19" s="1"/>
      <c r="B19" s="97"/>
      <c r="C19" s="63"/>
      <c r="D19" s="99">
        <f>$D$12</f>
        <v>3.1970074812967581E-3</v>
      </c>
      <c r="E19" s="52">
        <f>(G17+G16+G12)</f>
        <v>3.1544937655860346</v>
      </c>
      <c r="F19" s="100">
        <f>D19*C18</f>
        <v>0.3197007481296758</v>
      </c>
      <c r="G19" s="52">
        <f t="shared" si="4"/>
        <v>3.4741945137157102</v>
      </c>
      <c r="H19" s="110">
        <f t="shared" si="5"/>
        <v>3.4741945137157102</v>
      </c>
      <c r="I19" s="64"/>
      <c r="J19" s="64"/>
      <c r="K19" s="64"/>
      <c r="L19" s="64">
        <v>0.39</v>
      </c>
      <c r="M19" s="99">
        <f>V18*X19</f>
        <v>0.54290719068565862</v>
      </c>
      <c r="N19" s="52">
        <v>791.1</v>
      </c>
      <c r="O19" s="52">
        <f>O18-(I18*C18)</f>
        <v>789.87271292105277</v>
      </c>
      <c r="P19" s="52">
        <f t="shared" si="6"/>
        <v>1.2272870789472563</v>
      </c>
      <c r="Q19" s="52">
        <f>P19</f>
        <v>1.2272870789472563</v>
      </c>
      <c r="R19" s="52">
        <f>10^4*Z19*I18</f>
        <v>1.5764999999999998</v>
      </c>
      <c r="S19" s="102">
        <f t="shared" si="7"/>
        <v>3.3352337249434258</v>
      </c>
      <c r="T19" s="1"/>
      <c r="U19" s="43"/>
      <c r="W19" s="22">
        <f>H19/U18</f>
        <v>0.32261337897201214</v>
      </c>
      <c r="X19" s="10">
        <v>0.89090000000000003</v>
      </c>
      <c r="Y19" s="10">
        <v>0.2102</v>
      </c>
      <c r="Z19" s="44">
        <f>Y19*(K18/1000)</f>
        <v>3.1529999999999996E-2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9"/>
    </row>
    <row r="20" spans="1:40" s="10" customFormat="1" x14ac:dyDescent="0.25">
      <c r="A20" s="1"/>
      <c r="B20" s="88" t="s">
        <v>24</v>
      </c>
      <c r="C20" s="103">
        <v>74</v>
      </c>
      <c r="D20" s="90">
        <f>$D$11</f>
        <v>2.144638403990025E-3</v>
      </c>
      <c r="E20" s="91">
        <v>0</v>
      </c>
      <c r="F20" s="92">
        <f>D20*C20</f>
        <v>0.15870324189526186</v>
      </c>
      <c r="G20" s="91">
        <f t="shared" si="4"/>
        <v>0.15870324189526186</v>
      </c>
      <c r="H20" s="95">
        <f t="shared" si="5"/>
        <v>1.5</v>
      </c>
      <c r="I20" s="94">
        <f>IF((N20-N21)/C20&lt;(0.0055*H20^-0.47),(0.0055*H20^-0.47),(N20-N21)/C20)</f>
        <v>4.5456898188060094E-3</v>
      </c>
      <c r="J20" s="95">
        <f>0.3145*((H21/1000)/SQRT(I20))^(3/8)*1000</f>
        <v>75.484000676516601</v>
      </c>
      <c r="K20" s="93">
        <v>150</v>
      </c>
      <c r="L20" s="93">
        <v>0.26</v>
      </c>
      <c r="M20" s="90">
        <f>V20*X20</f>
        <v>0.41632043276160385</v>
      </c>
      <c r="N20" s="91">
        <v>791.7</v>
      </c>
      <c r="O20" s="91">
        <f>N20-C40</f>
        <v>790.6</v>
      </c>
      <c r="P20" s="91">
        <f t="shared" si="6"/>
        <v>1.1000000000000227</v>
      </c>
      <c r="Q20" s="91">
        <f>P20</f>
        <v>1.1000000000000227</v>
      </c>
      <c r="R20" s="91">
        <f>10^4*Z20*I20</f>
        <v>1.0336898647964865</v>
      </c>
      <c r="S20" s="96">
        <f t="shared" si="7"/>
        <v>2.8324321704146778</v>
      </c>
      <c r="T20" s="1"/>
      <c r="U20" s="43">
        <f>(23.976*(K20/1000)^(8/3)*SQRT(I20))*1000</f>
        <v>10.268018747824184</v>
      </c>
      <c r="V20" s="10">
        <f>30.527*(K20/1000)^(2/3)*SQRT(I20)</f>
        <v>0.5810473590531805</v>
      </c>
      <c r="W20" s="22">
        <f>H20/U20</f>
        <v>0.1460846573072194</v>
      </c>
      <c r="X20" s="10">
        <v>0.71650000000000003</v>
      </c>
      <c r="Y20" s="10">
        <v>0.15160000000000001</v>
      </c>
      <c r="Z20" s="44">
        <f>Y20*(K20/1000)</f>
        <v>2.274E-2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9"/>
    </row>
    <row r="21" spans="1:40" s="10" customFormat="1" ht="15.75" thickBot="1" x14ac:dyDescent="0.3">
      <c r="A21" s="1"/>
      <c r="B21" s="97"/>
      <c r="C21" s="63"/>
      <c r="D21" s="99">
        <f>$D$12</f>
        <v>3.1970074812967581E-3</v>
      </c>
      <c r="E21" s="52">
        <v>0</v>
      </c>
      <c r="F21" s="100">
        <f>D21*C20</f>
        <v>0.23657855361596009</v>
      </c>
      <c r="G21" s="52">
        <f t="shared" si="4"/>
        <v>0.23657855361596009</v>
      </c>
      <c r="H21" s="110">
        <f t="shared" si="5"/>
        <v>1.5</v>
      </c>
      <c r="I21" s="101"/>
      <c r="J21" s="110"/>
      <c r="K21" s="64"/>
      <c r="L21" s="64">
        <v>0.26</v>
      </c>
      <c r="M21" s="99">
        <f>V20*X21</f>
        <v>0.41632043276160385</v>
      </c>
      <c r="N21" s="52">
        <v>791.45</v>
      </c>
      <c r="O21" s="52">
        <f>O20-(I20*C20)</f>
        <v>790.26361895340835</v>
      </c>
      <c r="P21" s="52">
        <f t="shared" si="6"/>
        <v>1.1863810465916913</v>
      </c>
      <c r="Q21" s="52">
        <f>P21</f>
        <v>1.1863810465916913</v>
      </c>
      <c r="R21" s="52">
        <f>10^4*Z21*I20</f>
        <v>1.0336898647964865</v>
      </c>
      <c r="S21" s="102">
        <f t="shared" si="7"/>
        <v>2.8324321704146778</v>
      </c>
      <c r="T21" s="1"/>
      <c r="U21" s="43"/>
      <c r="W21" s="22">
        <f>H21/U20</f>
        <v>0.1460846573072194</v>
      </c>
      <c r="X21" s="10">
        <v>0.71650000000000003</v>
      </c>
      <c r="Y21" s="10">
        <v>0.15160000000000001</v>
      </c>
      <c r="Z21" s="44">
        <f>Y21*(K20/1000)</f>
        <v>2.274E-2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9"/>
    </row>
    <row r="22" spans="1:40" s="10" customFormat="1" x14ac:dyDescent="0.25">
      <c r="A22" s="1"/>
      <c r="B22" s="88" t="s">
        <v>25</v>
      </c>
      <c r="C22" s="103">
        <v>60</v>
      </c>
      <c r="D22" s="90">
        <f>$D$11</f>
        <v>2.144638403990025E-3</v>
      </c>
      <c r="E22" s="91">
        <f>G20</f>
        <v>0.15870324189526186</v>
      </c>
      <c r="F22" s="92">
        <f>D22*C22</f>
        <v>0.12867830423940149</v>
      </c>
      <c r="G22" s="91">
        <f t="shared" si="4"/>
        <v>0.28738154613466338</v>
      </c>
      <c r="H22" s="95">
        <f t="shared" si="5"/>
        <v>1.5</v>
      </c>
      <c r="I22" s="94">
        <f t="shared" ref="I22:I34" si="8">IF((N22-N23)/C22&lt;(0.0055*H22^-0.47),(0.0055*H22^-0.47),(N22-N23)/C22)</f>
        <v>5.8333333333337126E-3</v>
      </c>
      <c r="J22" s="95">
        <f t="shared" ref="J22:J34" si="9">0.3145*((H23/1000)/SQRT(I22))^(3/8)*1000</f>
        <v>72.035317229112437</v>
      </c>
      <c r="K22" s="93">
        <v>150</v>
      </c>
      <c r="L22" s="93">
        <v>0.24</v>
      </c>
      <c r="M22" s="90">
        <f>V22*X22</f>
        <v>0.45048468458239838</v>
      </c>
      <c r="N22" s="91">
        <v>791.45</v>
      </c>
      <c r="O22" s="91">
        <f>O21</f>
        <v>790.26361895340835</v>
      </c>
      <c r="P22" s="91">
        <f>N22-O22</f>
        <v>1.1863810465916913</v>
      </c>
      <c r="Q22" s="91">
        <f>Q21</f>
        <v>1.1863810465916913</v>
      </c>
      <c r="R22" s="91">
        <f>10^4*Z22*I22</f>
        <v>1.2390000000000805</v>
      </c>
      <c r="S22" s="96">
        <f t="shared" si="7"/>
        <v>2.7374206837824544</v>
      </c>
      <c r="T22" s="1"/>
      <c r="U22" s="43">
        <f>(23.976*(K22/1000)^(8/3)*SQRT(I22))*1000</f>
        <v>11.631752456024008</v>
      </c>
      <c r="V22" s="10">
        <f>30.527*(K22/1000)^(2/3)*SQRT(I22)</f>
        <v>0.65821841698187955</v>
      </c>
      <c r="W22" s="22">
        <f>H22/U22</f>
        <v>0.12895735235692363</v>
      </c>
      <c r="X22" s="10">
        <v>0.68440000000000001</v>
      </c>
      <c r="Y22" s="10">
        <v>0.1416</v>
      </c>
      <c r="Z22" s="44">
        <f>Y22*(K22/1000)</f>
        <v>2.1239999999999998E-2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9"/>
    </row>
    <row r="23" spans="1:40" s="10" customFormat="1" ht="15.75" thickBot="1" x14ac:dyDescent="0.3">
      <c r="A23" s="1"/>
      <c r="B23" s="97"/>
      <c r="C23" s="63"/>
      <c r="D23" s="99">
        <f>$D$12</f>
        <v>3.1970074812967581E-3</v>
      </c>
      <c r="E23" s="52">
        <f>G21</f>
        <v>0.23657855361596009</v>
      </c>
      <c r="F23" s="100">
        <f>D23*C22</f>
        <v>0.19182044887780547</v>
      </c>
      <c r="G23" s="52">
        <f t="shared" si="4"/>
        <v>0.42839900249376556</v>
      </c>
      <c r="H23" s="110">
        <f t="shared" si="5"/>
        <v>1.5</v>
      </c>
      <c r="I23" s="101"/>
      <c r="J23" s="110"/>
      <c r="K23" s="64"/>
      <c r="L23" s="64">
        <v>0.24</v>
      </c>
      <c r="M23" s="99">
        <f>V22*X23</f>
        <v>0.45048468458239838</v>
      </c>
      <c r="N23" s="52">
        <v>791.1</v>
      </c>
      <c r="O23" s="52">
        <f>O22-(I22*C22)</f>
        <v>789.91361895340833</v>
      </c>
      <c r="P23" s="52">
        <f>N23-O23</f>
        <v>1.1863810465916913</v>
      </c>
      <c r="Q23" s="52">
        <f>Q19</f>
        <v>1.2272870789472563</v>
      </c>
      <c r="R23" s="52">
        <f>10^4*Z23*I22</f>
        <v>1.2390000000000805</v>
      </c>
      <c r="S23" s="102">
        <f t="shared" si="7"/>
        <v>2.7374206837824544</v>
      </c>
      <c r="T23" s="1"/>
      <c r="U23" s="43"/>
      <c r="W23" s="22">
        <f>H23/U22</f>
        <v>0.12895735235692363</v>
      </c>
      <c r="X23" s="10">
        <v>0.68440000000000001</v>
      </c>
      <c r="Y23" s="10">
        <v>0.1416</v>
      </c>
      <c r="Z23" s="44">
        <f>Y23*(K22/1000)</f>
        <v>2.1239999999999998E-2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9"/>
    </row>
    <row r="24" spans="1:40" s="10" customFormat="1" ht="15.75" thickBot="1" x14ac:dyDescent="0.3">
      <c r="A24" s="1"/>
      <c r="B24" s="104" t="s">
        <v>26</v>
      </c>
      <c r="C24" s="106" t="s">
        <v>50</v>
      </c>
      <c r="D24" s="105" t="s">
        <v>50</v>
      </c>
      <c r="E24" s="106" t="s">
        <v>50</v>
      </c>
      <c r="F24" s="105" t="s">
        <v>50</v>
      </c>
      <c r="G24" s="107">
        <v>2.4</v>
      </c>
      <c r="H24" s="111">
        <f t="shared" si="5"/>
        <v>2.4</v>
      </c>
      <c r="I24" s="106" t="s">
        <v>50</v>
      </c>
      <c r="J24" s="105" t="s">
        <v>50</v>
      </c>
      <c r="K24" s="105" t="s">
        <v>50</v>
      </c>
      <c r="L24" s="106" t="s">
        <v>50</v>
      </c>
      <c r="M24" s="108" t="s">
        <v>50</v>
      </c>
      <c r="N24" s="106" t="s">
        <v>50</v>
      </c>
      <c r="O24" s="105" t="s">
        <v>50</v>
      </c>
      <c r="P24" s="106" t="s">
        <v>50</v>
      </c>
      <c r="Q24" s="105" t="s">
        <v>50</v>
      </c>
      <c r="R24" s="105" t="s">
        <v>50</v>
      </c>
      <c r="S24" s="109" t="s">
        <v>50</v>
      </c>
      <c r="T24" s="1"/>
      <c r="U24" s="47" t="s">
        <v>50</v>
      </c>
      <c r="V24" s="27" t="s">
        <v>50</v>
      </c>
      <c r="W24" s="32" t="s">
        <v>50</v>
      </c>
      <c r="X24" s="28" t="s">
        <v>50</v>
      </c>
      <c r="Y24" s="27" t="s">
        <v>50</v>
      </c>
      <c r="Z24" s="30" t="s">
        <v>50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9"/>
    </row>
    <row r="25" spans="1:40" s="10" customFormat="1" x14ac:dyDescent="0.25">
      <c r="A25" s="1"/>
      <c r="B25" s="88" t="s">
        <v>27</v>
      </c>
      <c r="C25" s="103">
        <v>80</v>
      </c>
      <c r="D25" s="90">
        <f>$D$11</f>
        <v>2.144638403990025E-3</v>
      </c>
      <c r="E25" s="91">
        <f>G18+G22</f>
        <v>1.0079800498753118</v>
      </c>
      <c r="F25" s="92">
        <f>D25*C25</f>
        <v>0.17157107231920199</v>
      </c>
      <c r="G25" s="91">
        <f t="shared" ref="G25:G32" si="10">E25+F25</f>
        <v>1.1795511221945136</v>
      </c>
      <c r="H25" s="95">
        <f t="shared" si="5"/>
        <v>1.5</v>
      </c>
      <c r="I25" s="94">
        <f t="shared" si="8"/>
        <v>4.9999999999997156E-3</v>
      </c>
      <c r="J25" s="95">
        <f t="shared" si="9"/>
        <v>128.93233484035696</v>
      </c>
      <c r="K25" s="93">
        <v>150</v>
      </c>
      <c r="L25" s="93">
        <v>0.23</v>
      </c>
      <c r="M25" s="90">
        <f>V25*X25</f>
        <v>0.4270008626259178</v>
      </c>
      <c r="N25" s="91">
        <v>791.1</v>
      </c>
      <c r="O25" s="91">
        <f>O23</f>
        <v>789.91361895340833</v>
      </c>
      <c r="P25" s="91">
        <f t="shared" si="6"/>
        <v>1.1863810465916913</v>
      </c>
      <c r="Q25" s="91">
        <f>Q23</f>
        <v>1.2272870789472563</v>
      </c>
      <c r="R25" s="91">
        <f>10^4*Z25*I25</f>
        <v>1.0994999999999373</v>
      </c>
      <c r="S25" s="96">
        <f t="shared" si="7"/>
        <v>2.7853315781069945</v>
      </c>
      <c r="T25" s="1"/>
      <c r="U25" s="43">
        <f>(23.976*(K25/1000)^(8/3)*SQRT(I25))*1000</f>
        <v>10.768910219365111</v>
      </c>
      <c r="V25" s="10">
        <f t="shared" ref="V25:V34" si="11">30.527*(K25/1000)^(2/3)*SQRT(I25)</f>
        <v>0.60939184048225747</v>
      </c>
      <c r="W25" s="22">
        <f>H25/U25</f>
        <v>0.1392898602964148</v>
      </c>
      <c r="X25" s="10">
        <v>0.70069999999999999</v>
      </c>
      <c r="Y25" s="10">
        <v>0.14660000000000001</v>
      </c>
      <c r="Z25" s="44">
        <f>Y25*(K25/1000)</f>
        <v>2.1989999999999999E-2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9"/>
    </row>
    <row r="26" spans="1:40" s="10" customFormat="1" ht="15.75" thickBot="1" x14ac:dyDescent="0.3">
      <c r="A26" s="1"/>
      <c r="B26" s="97"/>
      <c r="C26" s="63"/>
      <c r="D26" s="99">
        <f>$D$12</f>
        <v>3.1970074812967581E-3</v>
      </c>
      <c r="E26" s="52">
        <f>G24+G23+G19</f>
        <v>6.3025935162094751</v>
      </c>
      <c r="F26" s="100">
        <f>D26*C25</f>
        <v>0.25576059850374067</v>
      </c>
      <c r="G26" s="52">
        <f t="shared" si="10"/>
        <v>6.5583541147132154</v>
      </c>
      <c r="H26" s="110">
        <f t="shared" si="5"/>
        <v>6.5583541147132154</v>
      </c>
      <c r="I26" s="101"/>
      <c r="J26" s="110"/>
      <c r="K26" s="64"/>
      <c r="L26" s="64">
        <v>0.56999999999999995</v>
      </c>
      <c r="M26" s="99">
        <f t="shared" ref="M26:M35" si="12">V25*X26</f>
        <v>0.63766762188063419</v>
      </c>
      <c r="N26" s="52">
        <v>790.7</v>
      </c>
      <c r="O26" s="64">
        <f>O25-(I25*C25)</f>
        <v>789.51361895340835</v>
      </c>
      <c r="P26" s="52">
        <f t="shared" si="6"/>
        <v>1.1863810465916913</v>
      </c>
      <c r="Q26" s="52">
        <f>P26</f>
        <v>1.1863810465916913</v>
      </c>
      <c r="R26" s="52">
        <f>10^4*Z26*I25</f>
        <v>2.006999999999886</v>
      </c>
      <c r="S26" s="102">
        <f t="shared" si="7"/>
        <v>3.7631624998131561</v>
      </c>
      <c r="T26" s="1"/>
      <c r="U26" s="43"/>
      <c r="W26" s="22">
        <f t="shared" ref="W26:W32" si="13">H26/U25</f>
        <v>0.60900815227521399</v>
      </c>
      <c r="X26" s="10">
        <v>1.0464</v>
      </c>
      <c r="Y26" s="10">
        <v>0.2676</v>
      </c>
      <c r="Z26" s="44">
        <f t="shared" ref="Z26:Z35" si="14">Y26*(K25/1000)</f>
        <v>4.0140000000000002E-2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9"/>
    </row>
    <row r="27" spans="1:40" s="10" customFormat="1" x14ac:dyDescent="0.25">
      <c r="A27" s="1"/>
      <c r="B27" s="112" t="s">
        <v>28</v>
      </c>
      <c r="C27" s="113">
        <v>70</v>
      </c>
      <c r="D27" s="114">
        <f>$D$11</f>
        <v>2.144638403990025E-3</v>
      </c>
      <c r="E27" s="53">
        <f>G25</f>
        <v>1.1795511221945136</v>
      </c>
      <c r="F27" s="115">
        <f>D27*C27</f>
        <v>0.15012468827930175</v>
      </c>
      <c r="G27" s="53">
        <f t="shared" si="10"/>
        <v>1.3296758104738153</v>
      </c>
      <c r="H27" s="116">
        <f t="shared" si="5"/>
        <v>1.5</v>
      </c>
      <c r="I27" s="117">
        <f t="shared" si="8"/>
        <v>1.0000000000000649E-2</v>
      </c>
      <c r="J27" s="116">
        <f t="shared" si="9"/>
        <v>114.65243759349917</v>
      </c>
      <c r="K27" s="118">
        <v>150</v>
      </c>
      <c r="L27" s="118">
        <v>0.22</v>
      </c>
      <c r="M27" s="114">
        <f>V27*X27</f>
        <v>0.54561204117141415</v>
      </c>
      <c r="N27" s="53">
        <v>790.7</v>
      </c>
      <c r="O27" s="53">
        <f>O26</f>
        <v>789.51361895340835</v>
      </c>
      <c r="P27" s="53">
        <f t="shared" si="6"/>
        <v>1.1863810465916913</v>
      </c>
      <c r="Q27" s="53">
        <f>Q26</f>
        <v>1.1863810465916913</v>
      </c>
      <c r="R27" s="53">
        <f>10^4*Z27*I27</f>
        <v>1.8885000000001229</v>
      </c>
      <c r="S27" s="119">
        <f t="shared" si="7"/>
        <v>2.5812066945519883</v>
      </c>
      <c r="T27" s="1"/>
      <c r="U27" s="43">
        <f t="shared" ref="U27:U34" si="15">(23.976*(K27/1000)^(8/3)*SQRT(I27))*1000</f>
        <v>15.22953888420529</v>
      </c>
      <c r="V27" s="10">
        <f t="shared" si="11"/>
        <v>0.86181020560956267</v>
      </c>
      <c r="W27" s="22">
        <f>H27/U27</f>
        <v>9.8492804766115757E-2</v>
      </c>
      <c r="X27" s="10">
        <v>0.6331</v>
      </c>
      <c r="Y27" s="10">
        <v>0.12590000000000001</v>
      </c>
      <c r="Z27" s="44">
        <f>Y27*(K27/1000)</f>
        <v>1.8885000000000002E-2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9"/>
    </row>
    <row r="28" spans="1:40" s="10" customFormat="1" ht="15.75" thickBot="1" x14ac:dyDescent="0.3">
      <c r="A28" s="1"/>
      <c r="B28" s="120"/>
      <c r="C28" s="121"/>
      <c r="D28" s="122">
        <f>$D$12</f>
        <v>3.1970074812967581E-3</v>
      </c>
      <c r="E28" s="123">
        <f>G26</f>
        <v>6.5583541147132154</v>
      </c>
      <c r="F28" s="124">
        <f>D28*C27</f>
        <v>0.22379052369077307</v>
      </c>
      <c r="G28" s="123">
        <f t="shared" si="10"/>
        <v>6.7821446384039881</v>
      </c>
      <c r="H28" s="125">
        <f t="shared" si="5"/>
        <v>6.7821446384039881</v>
      </c>
      <c r="I28" s="126"/>
      <c r="J28" s="125"/>
      <c r="K28" s="127"/>
      <c r="L28" s="127">
        <v>0.47</v>
      </c>
      <c r="M28" s="122">
        <f>V27*(X28)</f>
        <v>0.83888605414034834</v>
      </c>
      <c r="N28" s="123">
        <v>790</v>
      </c>
      <c r="O28" s="127">
        <f>O27-(I27*C27)</f>
        <v>788.81361895340831</v>
      </c>
      <c r="P28" s="123">
        <f t="shared" si="6"/>
        <v>1.1863810465916913</v>
      </c>
      <c r="Q28" s="123">
        <f>P28</f>
        <v>1.1863810465916913</v>
      </c>
      <c r="R28" s="123">
        <f>10^4*Z28*I27</f>
        <v>3.6015000000002333</v>
      </c>
      <c r="S28" s="128">
        <f t="shared" si="7"/>
        <v>3.5645605619767493</v>
      </c>
      <c r="T28" s="1"/>
      <c r="U28" s="43"/>
      <c r="W28" s="22">
        <f t="shared" si="13"/>
        <v>0.44532829851058847</v>
      </c>
      <c r="X28" s="10">
        <v>0.97340000000000004</v>
      </c>
      <c r="Y28" s="10">
        <v>0.24010000000000001</v>
      </c>
      <c r="Z28" s="44">
        <f t="shared" si="14"/>
        <v>3.6014999999999998E-2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9"/>
    </row>
    <row r="29" spans="1:40" s="10" customFormat="1" x14ac:dyDescent="0.25">
      <c r="A29" s="1"/>
      <c r="B29" s="88" t="s">
        <v>29</v>
      </c>
      <c r="C29" s="103">
        <v>72</v>
      </c>
      <c r="D29" s="90">
        <f>$D$11</f>
        <v>2.144638403990025E-3</v>
      </c>
      <c r="E29" s="93">
        <v>0</v>
      </c>
      <c r="F29" s="92">
        <f>D29*C29</f>
        <v>0.15441396508728181</v>
      </c>
      <c r="G29" s="91">
        <f t="shared" si="10"/>
        <v>0.15441396508728181</v>
      </c>
      <c r="H29" s="95">
        <f t="shared" si="5"/>
        <v>1.5</v>
      </c>
      <c r="I29" s="94">
        <f t="shared" si="8"/>
        <v>4.5456898188060094E-3</v>
      </c>
      <c r="J29" s="95">
        <f t="shared" si="9"/>
        <v>75.484000676516601</v>
      </c>
      <c r="K29" s="93">
        <v>150</v>
      </c>
      <c r="L29" s="93">
        <v>0.26</v>
      </c>
      <c r="M29" s="90">
        <f>V29*X29</f>
        <v>0.41632043276160385</v>
      </c>
      <c r="N29" s="91">
        <v>791</v>
      </c>
      <c r="O29" s="91">
        <f>N29-C40</f>
        <v>789.9</v>
      </c>
      <c r="P29" s="91">
        <f t="shared" si="6"/>
        <v>1.1000000000000227</v>
      </c>
      <c r="Q29" s="91">
        <f>P29</f>
        <v>1.1000000000000227</v>
      </c>
      <c r="R29" s="91">
        <f>10^4*Z29*I29</f>
        <v>1.0336898647964865</v>
      </c>
      <c r="S29" s="96">
        <f t="shared" si="7"/>
        <v>2.8324321704146778</v>
      </c>
      <c r="T29" s="1"/>
      <c r="U29" s="43">
        <f t="shared" si="15"/>
        <v>10.268018747824184</v>
      </c>
      <c r="V29" s="10">
        <f t="shared" si="11"/>
        <v>0.5810473590531805</v>
      </c>
      <c r="W29" s="22">
        <f>H29/U29</f>
        <v>0.1460846573072194</v>
      </c>
      <c r="X29" s="10">
        <v>0.71650000000000003</v>
      </c>
      <c r="Y29" s="10">
        <v>0.15160000000000001</v>
      </c>
      <c r="Z29" s="44">
        <f>Y29*(K29/1000)</f>
        <v>2.274E-2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9"/>
    </row>
    <row r="30" spans="1:40" s="10" customFormat="1" ht="15.75" thickBot="1" x14ac:dyDescent="0.3">
      <c r="A30" s="1"/>
      <c r="B30" s="97"/>
      <c r="C30" s="63"/>
      <c r="D30" s="99">
        <f>$D$12</f>
        <v>3.1970074812967581E-3</v>
      </c>
      <c r="E30" s="64">
        <v>0</v>
      </c>
      <c r="F30" s="100">
        <f>D30*C29</f>
        <v>0.23018453865336658</v>
      </c>
      <c r="G30" s="52">
        <f t="shared" si="10"/>
        <v>0.23018453865336658</v>
      </c>
      <c r="H30" s="110">
        <f t="shared" si="5"/>
        <v>1.5</v>
      </c>
      <c r="I30" s="101"/>
      <c r="J30" s="110"/>
      <c r="K30" s="64"/>
      <c r="L30" s="64">
        <v>0.26</v>
      </c>
      <c r="M30" s="99">
        <f t="shared" si="12"/>
        <v>0.41632043276160385</v>
      </c>
      <c r="N30" s="52">
        <v>790.68</v>
      </c>
      <c r="O30" s="64">
        <f>O29-(I29*C29)</f>
        <v>789.57271033304596</v>
      </c>
      <c r="P30" s="52">
        <f t="shared" si="6"/>
        <v>1.1072896669539887</v>
      </c>
      <c r="Q30" s="52">
        <f>P30</f>
        <v>1.1072896669539887</v>
      </c>
      <c r="R30" s="52">
        <f>10^4*Z30*I29</f>
        <v>1.0336898647964865</v>
      </c>
      <c r="S30" s="102">
        <f t="shared" si="7"/>
        <v>2.8324321704146778</v>
      </c>
      <c r="T30" s="1"/>
      <c r="U30" s="43"/>
      <c r="W30" s="22">
        <f t="shared" si="13"/>
        <v>0.1460846573072194</v>
      </c>
      <c r="X30" s="136">
        <v>0.71650000000000003</v>
      </c>
      <c r="Y30" s="136">
        <v>0.15160000000000001</v>
      </c>
      <c r="Z30" s="44">
        <f t="shared" si="14"/>
        <v>2.274E-2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9"/>
    </row>
    <row r="31" spans="1:40" s="10" customFormat="1" x14ac:dyDescent="0.25">
      <c r="A31" s="1"/>
      <c r="B31" s="112" t="s">
        <v>30</v>
      </c>
      <c r="C31" s="113">
        <v>56</v>
      </c>
      <c r="D31" s="114">
        <f>$D$11</f>
        <v>2.144638403990025E-3</v>
      </c>
      <c r="E31" s="53">
        <f>G29</f>
        <v>0.15441396508728181</v>
      </c>
      <c r="F31" s="115">
        <f>D31*C31</f>
        <v>0.1200997506234414</v>
      </c>
      <c r="G31" s="53">
        <f t="shared" si="10"/>
        <v>0.27451371571072319</v>
      </c>
      <c r="H31" s="116">
        <f t="shared" si="5"/>
        <v>1.5</v>
      </c>
      <c r="I31" s="117">
        <f t="shared" si="8"/>
        <v>1.2142857142856249E-2</v>
      </c>
      <c r="J31" s="116">
        <f t="shared" si="9"/>
        <v>62.783381912453322</v>
      </c>
      <c r="K31" s="118">
        <v>150</v>
      </c>
      <c r="L31" s="53">
        <v>0.2</v>
      </c>
      <c r="M31" s="114">
        <f>V31*X31</f>
        <v>0.58404618485568205</v>
      </c>
      <c r="N31" s="53">
        <v>790.68</v>
      </c>
      <c r="O31" s="118">
        <f>O30</f>
        <v>789.57271033304596</v>
      </c>
      <c r="P31" s="53">
        <f t="shared" si="6"/>
        <v>1.1072896669539887</v>
      </c>
      <c r="Q31" s="53">
        <f>Q30</f>
        <v>1.1072896669539887</v>
      </c>
      <c r="R31" s="53">
        <f>10^4*Z31*I31</f>
        <v>2.1966428571426952</v>
      </c>
      <c r="S31" s="119">
        <f t="shared" si="7"/>
        <v>2.5262921446261912</v>
      </c>
      <c r="T31" s="1"/>
      <c r="U31" s="43">
        <f t="shared" si="15"/>
        <v>16.782134481630223</v>
      </c>
      <c r="V31" s="10">
        <f t="shared" si="11"/>
        <v>0.94966859326127162</v>
      </c>
      <c r="W31" s="22">
        <f>H31/U31</f>
        <v>8.9380763909495828E-2</v>
      </c>
      <c r="X31" s="136">
        <v>0.61499999999999999</v>
      </c>
      <c r="Y31" s="136">
        <v>0.1206</v>
      </c>
      <c r="Z31" s="44">
        <f>Y31*(K31/1000)</f>
        <v>1.8089999999999998E-2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9"/>
    </row>
    <row r="32" spans="1:40" s="10" customFormat="1" ht="15.75" thickBot="1" x14ac:dyDescent="0.3">
      <c r="A32" s="1"/>
      <c r="B32" s="120"/>
      <c r="C32" s="121"/>
      <c r="D32" s="122">
        <f>$D$12</f>
        <v>3.1970074812967581E-3</v>
      </c>
      <c r="E32" s="123">
        <f>G30</f>
        <v>0.23018453865336658</v>
      </c>
      <c r="F32" s="124">
        <f>D32*C31</f>
        <v>0.17903241895261846</v>
      </c>
      <c r="G32" s="123">
        <f t="shared" si="10"/>
        <v>0.40921695760598503</v>
      </c>
      <c r="H32" s="125">
        <f t="shared" si="5"/>
        <v>1.5</v>
      </c>
      <c r="I32" s="126"/>
      <c r="J32" s="125"/>
      <c r="K32" s="127"/>
      <c r="L32" s="123">
        <v>0.2</v>
      </c>
      <c r="M32" s="122">
        <f t="shared" si="12"/>
        <v>0.58404618485568205</v>
      </c>
      <c r="N32" s="123">
        <v>790</v>
      </c>
      <c r="O32" s="127">
        <f>O31-(I31*C31)</f>
        <v>788.89271033304601</v>
      </c>
      <c r="P32" s="123">
        <f t="shared" si="6"/>
        <v>1.1072896669539887</v>
      </c>
      <c r="Q32" s="123">
        <f>Q28</f>
        <v>1.1863810465916913</v>
      </c>
      <c r="R32" s="123">
        <f>10^4*Z32*I31</f>
        <v>2.1966428571426952</v>
      </c>
      <c r="S32" s="128">
        <f t="shared" si="7"/>
        <v>2.5262921446261912</v>
      </c>
      <c r="T32" s="1"/>
      <c r="U32" s="43"/>
      <c r="W32" s="22">
        <f t="shared" si="13"/>
        <v>8.9380763909495828E-2</v>
      </c>
      <c r="X32" s="136">
        <v>0.61499999999999999</v>
      </c>
      <c r="Y32" s="136">
        <v>0.1206</v>
      </c>
      <c r="Z32" s="44">
        <f t="shared" si="14"/>
        <v>1.8089999999999998E-2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9"/>
    </row>
    <row r="33" spans="1:40" s="10" customFormat="1" ht="15.75" thickBot="1" x14ac:dyDescent="0.3">
      <c r="A33" s="1"/>
      <c r="B33" s="129" t="s">
        <v>31</v>
      </c>
      <c r="C33" s="130" t="s">
        <v>50</v>
      </c>
      <c r="D33" s="131" t="s">
        <v>50</v>
      </c>
      <c r="E33" s="130" t="s">
        <v>50</v>
      </c>
      <c r="F33" s="131" t="s">
        <v>50</v>
      </c>
      <c r="G33" s="132">
        <v>3.6</v>
      </c>
      <c r="H33" s="133">
        <f t="shared" si="5"/>
        <v>3.6</v>
      </c>
      <c r="I33" s="130" t="s">
        <v>50</v>
      </c>
      <c r="J33" s="131" t="s">
        <v>50</v>
      </c>
      <c r="K33" s="130" t="s">
        <v>50</v>
      </c>
      <c r="L33" s="131" t="s">
        <v>50</v>
      </c>
      <c r="M33" s="134" t="s">
        <v>51</v>
      </c>
      <c r="N33" s="130" t="s">
        <v>50</v>
      </c>
      <c r="O33" s="131" t="s">
        <v>50</v>
      </c>
      <c r="P33" s="130" t="s">
        <v>50</v>
      </c>
      <c r="Q33" s="131" t="s">
        <v>50</v>
      </c>
      <c r="R33" s="131" t="s">
        <v>50</v>
      </c>
      <c r="S33" s="135" t="s">
        <v>50</v>
      </c>
      <c r="T33" s="1"/>
      <c r="U33" s="47" t="s">
        <v>50</v>
      </c>
      <c r="V33" s="27" t="s">
        <v>50</v>
      </c>
      <c r="W33" s="31" t="s">
        <v>50</v>
      </c>
      <c r="X33" s="137" t="s">
        <v>50</v>
      </c>
      <c r="Y33" s="138" t="s">
        <v>50</v>
      </c>
      <c r="Z33" s="30" t="s">
        <v>50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9"/>
    </row>
    <row r="34" spans="1:40" s="10" customFormat="1" x14ac:dyDescent="0.25">
      <c r="A34" s="1"/>
      <c r="B34" s="112" t="s">
        <v>32</v>
      </c>
      <c r="C34" s="113">
        <v>54</v>
      </c>
      <c r="D34" s="114">
        <f>$D$11</f>
        <v>2.144638403990025E-3</v>
      </c>
      <c r="E34" s="53">
        <f>G27+G31</f>
        <v>1.6041895261845385</v>
      </c>
      <c r="F34" s="115">
        <f>D34*C34</f>
        <v>0.11581047381546135</v>
      </c>
      <c r="G34" s="53">
        <f>E34+F34</f>
        <v>1.7199999999999998</v>
      </c>
      <c r="H34" s="116">
        <f t="shared" si="5"/>
        <v>1.7199999999999998</v>
      </c>
      <c r="I34" s="117">
        <f t="shared" si="8"/>
        <v>7.4074074074069862E-3</v>
      </c>
      <c r="J34" s="116">
        <f t="shared" si="9"/>
        <v>145.22674932059911</v>
      </c>
      <c r="K34" s="118">
        <v>150</v>
      </c>
      <c r="L34" s="53">
        <v>0.24</v>
      </c>
      <c r="M34" s="114">
        <f>V34*X34</f>
        <v>0.50763873048643271</v>
      </c>
      <c r="N34" s="53">
        <v>790</v>
      </c>
      <c r="O34" s="118">
        <v>788.89271033304601</v>
      </c>
      <c r="P34" s="53">
        <f t="shared" si="6"/>
        <v>1.1072896669539887</v>
      </c>
      <c r="Q34" s="53">
        <f>Q19</f>
        <v>1.2272870789472563</v>
      </c>
      <c r="R34" s="53">
        <f>10^4*Z34*I34</f>
        <v>1.5733333333332438</v>
      </c>
      <c r="S34" s="119">
        <f t="shared" si="7"/>
        <v>2.7374206837824544</v>
      </c>
      <c r="T34" s="1"/>
      <c r="U34" s="43">
        <f t="shared" si="15"/>
        <v>13.107500104209286</v>
      </c>
      <c r="V34" s="10">
        <f t="shared" si="11"/>
        <v>0.74172812753716066</v>
      </c>
      <c r="W34" s="22">
        <f>H34/U34</f>
        <v>0.1312225814476741</v>
      </c>
      <c r="X34" s="136">
        <v>0.68440000000000001</v>
      </c>
      <c r="Y34" s="136">
        <v>0.1416</v>
      </c>
      <c r="Z34" s="44">
        <f>Y34*(K34/1000)</f>
        <v>2.1239999999999998E-2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9"/>
    </row>
    <row r="35" spans="1:40" s="10" customFormat="1" ht="15.75" thickBot="1" x14ac:dyDescent="0.3">
      <c r="A35" s="1"/>
      <c r="B35" s="97"/>
      <c r="C35" s="63"/>
      <c r="D35" s="99">
        <f>$D$12</f>
        <v>3.1970074812967581E-3</v>
      </c>
      <c r="E35" s="52">
        <f>G28+G32+G33</f>
        <v>10.791361596009974</v>
      </c>
      <c r="F35" s="100">
        <f>D35*C34</f>
        <v>0.17263840399002495</v>
      </c>
      <c r="G35" s="52">
        <f>E35+F35</f>
        <v>10.963999999999999</v>
      </c>
      <c r="H35" s="110">
        <f t="shared" si="5"/>
        <v>10.963999999999999</v>
      </c>
      <c r="I35" s="101"/>
      <c r="J35" s="110"/>
      <c r="K35" s="64"/>
      <c r="L35" s="52">
        <v>0.7</v>
      </c>
      <c r="M35" s="99">
        <f t="shared" si="12"/>
        <v>0.83073550284162001</v>
      </c>
      <c r="N35" s="52">
        <v>789.6</v>
      </c>
      <c r="O35" s="64">
        <f>O34-(I34*C34)</f>
        <v>788.49271033304603</v>
      </c>
      <c r="P35" s="52">
        <f t="shared" si="6"/>
        <v>1.1072896669539887</v>
      </c>
      <c r="Q35" s="52">
        <f>Q19</f>
        <v>1.2272870789472563</v>
      </c>
      <c r="R35" s="52">
        <f>10^4*Z35*I34</f>
        <v>3.2911111111109244</v>
      </c>
      <c r="S35" s="102">
        <f t="shared" si="7"/>
        <v>3.9591544551835813</v>
      </c>
      <c r="T35" s="1"/>
      <c r="U35" s="48"/>
      <c r="V35" s="49"/>
      <c r="W35" s="50">
        <f>H35/U34</f>
        <v>0.83646766453040622</v>
      </c>
      <c r="X35" s="139">
        <v>1.1200000000000001</v>
      </c>
      <c r="Y35" s="139">
        <v>0.29620000000000002</v>
      </c>
      <c r="Z35" s="51">
        <f t="shared" si="14"/>
        <v>4.4430000000000004E-2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9"/>
    </row>
    <row r="36" spans="1:40" x14ac:dyDescent="0.25">
      <c r="B36" s="33" t="s">
        <v>37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40" x14ac:dyDescent="0.25">
      <c r="B37" s="34" t="s">
        <v>34</v>
      </c>
      <c r="C37" s="2">
        <f>SUM(C11:C36)</f>
        <v>802</v>
      </c>
      <c r="D37" s="35" t="s">
        <v>57</v>
      </c>
      <c r="K37" s="8" t="s">
        <v>52</v>
      </c>
      <c r="L37" s="8"/>
      <c r="M37" s="18" t="s">
        <v>56</v>
      </c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40" x14ac:dyDescent="0.25">
      <c r="B38" s="34" t="s">
        <v>35</v>
      </c>
      <c r="C38" s="36">
        <v>1.72</v>
      </c>
      <c r="D38" s="35" t="s">
        <v>58</v>
      </c>
      <c r="K38" s="18" t="s">
        <v>53</v>
      </c>
      <c r="L38" s="24">
        <f>LARGE(L11:L35,1)</f>
        <v>0.7</v>
      </c>
      <c r="M38" s="29" t="str">
        <f>IF(L38&lt;0.75,"OK","Redimensionar'")</f>
        <v>OK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40" x14ac:dyDescent="0.25">
      <c r="B39" s="34" t="s">
        <v>36</v>
      </c>
      <c r="C39" s="2">
        <v>2.5640000000000001</v>
      </c>
      <c r="D39" s="35" t="s">
        <v>48</v>
      </c>
      <c r="K39" s="18" t="s">
        <v>55</v>
      </c>
      <c r="L39" s="24">
        <f>SMALL(M11:M35,1)</f>
        <v>0.41252202475069555</v>
      </c>
      <c r="M39" s="29" t="str">
        <f>IF(L39&lt;SMALL(S11:S35,1),"OK","Redimensionar'")</f>
        <v>OK</v>
      </c>
    </row>
    <row r="40" spans="1:40" x14ac:dyDescent="0.25">
      <c r="B40" s="34" t="s">
        <v>38</v>
      </c>
      <c r="C40" s="2">
        <v>1.1000000000000001</v>
      </c>
      <c r="D40" s="35" t="s">
        <v>49</v>
      </c>
      <c r="K40" s="18" t="s">
        <v>54</v>
      </c>
      <c r="L40" s="24">
        <f>SMALL(R11:R35,1)</f>
        <v>1.0262000000000666</v>
      </c>
      <c r="M40" s="29" t="str">
        <f>IF(L40&gt;1,"OK","Redimensionar'")</f>
        <v>OK</v>
      </c>
    </row>
    <row r="41" spans="1:40" x14ac:dyDescent="0.25">
      <c r="B41" s="34"/>
    </row>
    <row r="42" spans="1:40" x14ac:dyDescent="0.25">
      <c r="B42" s="34"/>
    </row>
    <row r="43" spans="1:40" x14ac:dyDescent="0.25">
      <c r="B43" s="34"/>
    </row>
    <row r="44" spans="1:40" x14ac:dyDescent="0.25">
      <c r="B44" s="34"/>
    </row>
    <row r="45" spans="1:40" x14ac:dyDescent="0.25">
      <c r="B45" s="34"/>
    </row>
    <row r="46" spans="1:40" x14ac:dyDescent="0.25">
      <c r="B46" s="34"/>
    </row>
    <row r="47" spans="1:40" x14ac:dyDescent="0.25">
      <c r="B47" s="34"/>
    </row>
    <row r="48" spans="1:40" x14ac:dyDescent="0.25">
      <c r="B48" s="34"/>
    </row>
  </sheetData>
  <mergeCells count="16">
    <mergeCell ref="K37:L37"/>
    <mergeCell ref="B3:S3"/>
    <mergeCell ref="B4:S4"/>
    <mergeCell ref="B5:S5"/>
    <mergeCell ref="Q6:S6"/>
    <mergeCell ref="B2:S2"/>
    <mergeCell ref="K8:K10"/>
    <mergeCell ref="U8:U10"/>
    <mergeCell ref="V8:V10"/>
    <mergeCell ref="U7:Z7"/>
    <mergeCell ref="R8:R10"/>
    <mergeCell ref="S8:S10"/>
    <mergeCell ref="I8:I10"/>
    <mergeCell ref="J8:J10"/>
    <mergeCell ref="C8:C10"/>
    <mergeCell ref="B8:B10"/>
  </mergeCells>
  <pageMargins left="0.25" right="0.25" top="0.75" bottom="0.75" header="0.3" footer="0.3"/>
  <pageSetup paperSize="9" scale="5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60" zoomScaleNormal="60" workbookViewId="0">
      <selection activeCell="S12" sqref="S12"/>
    </sheetView>
  </sheetViews>
  <sheetFormatPr defaultRowHeight="15" x14ac:dyDescent="0.25"/>
  <sheetData/>
  <pageMargins left="0.25" right="0.25" top="0.75" bottom="0.75" header="0.3" footer="0.3"/>
  <pageSetup paperSize="9" scale="72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pane ySplit="5" topLeftCell="A6" activePane="bottomLeft" state="frozenSplit"/>
      <selection pane="bottomLeft" activeCell="P16" sqref="P1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dimensiona rede</vt:lpstr>
      <vt:lpstr>layout</vt:lpstr>
      <vt:lpstr>tabela canais circulares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Fernandes</dc:creator>
  <cp:lastModifiedBy>Renato Fernandes</cp:lastModifiedBy>
  <cp:lastPrinted>2016-11-23T21:17:36Z</cp:lastPrinted>
  <dcterms:created xsi:type="dcterms:W3CDTF">2016-11-23T13:49:44Z</dcterms:created>
  <dcterms:modified xsi:type="dcterms:W3CDTF">2016-11-24T19:35:48Z</dcterms:modified>
</cp:coreProperties>
</file>